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filterPrivacy="1" defaultThemeVersion="124226"/>
  <xr:revisionPtr revIDLastSave="0" documentId="13_ncr:1_{9B5FA77A-042A-46BE-B278-5DA86ED3E2B2}" xr6:coauthVersionLast="36" xr6:coauthVersionMax="36" xr10:uidLastSave="{00000000-0000-0000-0000-000000000000}"/>
  <bookViews>
    <workbookView xWindow="240" yWindow="105" windowWidth="14805" windowHeight="8010" firstSheet="2" activeTab="2" xr2:uid="{00000000-000D-0000-FFFF-FFFF00000000}"/>
  </bookViews>
  <sheets>
    <sheet name="ВЛ " sheetId="5" state="hidden" r:id="rId1"/>
    <sheet name="КЛ" sheetId="2" state="hidden" r:id="rId2"/>
    <sheet name="ПС" sheetId="4" r:id="rId3"/>
  </sheets>
  <definedNames>
    <definedName name="_xlnm.Print_Area" localSheetId="0">'ВЛ '!$A$1:$L$13</definedName>
    <definedName name="_xlnm.Print_Area" localSheetId="2">ПС!$A$1:$BA$197</definedName>
  </definedNames>
  <calcPr calcId="191029"/>
</workbook>
</file>

<file path=xl/calcChain.xml><?xml version="1.0" encoding="utf-8"?>
<calcChain xmlns="http://schemas.openxmlformats.org/spreadsheetml/2006/main">
  <c r="I100" i="4" l="1"/>
  <c r="L100" i="4" s="1"/>
  <c r="M100" i="4" s="1"/>
  <c r="I98" i="4"/>
  <c r="L98" i="4" s="1"/>
  <c r="Z88" i="4" s="1"/>
  <c r="I88" i="4"/>
  <c r="L88" i="4" s="1"/>
  <c r="AD88" i="4" l="1"/>
  <c r="AE88" i="4" s="1"/>
  <c r="AP88" i="4"/>
  <c r="M88" i="4"/>
  <c r="N100" i="4"/>
  <c r="O100" i="4" s="1"/>
  <c r="AA88" i="4"/>
  <c r="Q88" i="4" s="1"/>
  <c r="AO88" i="4"/>
  <c r="AF88" i="4" s="1"/>
  <c r="P100" i="4" l="1"/>
  <c r="Q100" i="4" s="1"/>
  <c r="AB100" i="4" s="1"/>
  <c r="AD100" i="4"/>
  <c r="N88" i="4"/>
  <c r="O88" i="4" s="1"/>
  <c r="P88" i="4" s="1"/>
  <c r="AQ100" i="4" l="1"/>
  <c r="AF100" i="4" s="1"/>
  <c r="AE100" i="4"/>
  <c r="I192" i="4" l="1"/>
  <c r="L192" i="4" s="1"/>
  <c r="I191" i="4"/>
  <c r="L191" i="4" s="1"/>
  <c r="I190" i="4"/>
  <c r="L190" i="4" s="1"/>
  <c r="I189" i="4"/>
  <c r="L189" i="4" s="1"/>
  <c r="I188" i="4"/>
  <c r="L188" i="4" s="1"/>
  <c r="I187" i="4"/>
  <c r="L187" i="4" s="1"/>
  <c r="AD187" i="4" l="1"/>
  <c r="AE187" i="4" s="1"/>
  <c r="I186" i="4"/>
  <c r="L186" i="4" s="1"/>
  <c r="I185" i="4"/>
  <c r="I184" i="4"/>
  <c r="L184" i="4" s="1"/>
  <c r="I183" i="4"/>
  <c r="L183" i="4" s="1"/>
  <c r="I182" i="4"/>
  <c r="L182" i="4" s="1"/>
  <c r="I181" i="4"/>
  <c r="L181" i="4" s="1"/>
  <c r="I175" i="4"/>
  <c r="L175" i="4" s="1"/>
  <c r="BA175" i="4"/>
  <c r="AD181" i="4" l="1"/>
  <c r="I178" i="4"/>
  <c r="L178" i="4" s="1"/>
  <c r="AE181" i="4" l="1"/>
  <c r="AP181" i="4"/>
  <c r="AF181" i="4" s="1"/>
  <c r="I176" i="4" l="1"/>
  <c r="L176" i="4" s="1"/>
  <c r="BA187" i="4" l="1"/>
  <c r="BA181" i="4"/>
  <c r="I180" i="4"/>
  <c r="L180" i="4" s="1"/>
  <c r="I179" i="4"/>
  <c r="I177" i="4"/>
  <c r="L177" i="4" s="1"/>
  <c r="I174" i="4"/>
  <c r="L174" i="4" s="1"/>
  <c r="I173" i="4"/>
  <c r="L173" i="4" s="1"/>
  <c r="I172" i="4"/>
  <c r="L172" i="4" s="1"/>
  <c r="I171" i="4"/>
  <c r="L171" i="4" s="1"/>
  <c r="I170" i="4"/>
  <c r="L170" i="4" s="1"/>
  <c r="BA169" i="4"/>
  <c r="I169" i="4"/>
  <c r="L169" i="4" s="1"/>
  <c r="AD175" i="4" l="1"/>
  <c r="AP175" i="4"/>
  <c r="AF175" i="4" s="1"/>
  <c r="AE175" i="4"/>
  <c r="AD169" i="4"/>
  <c r="AE169" i="4" s="1"/>
  <c r="AP187" i="4" l="1"/>
  <c r="AF187" i="4" s="1"/>
  <c r="AP169" i="4"/>
  <c r="AF169" i="4" s="1"/>
  <c r="M73" i="4"/>
  <c r="P77" i="4"/>
  <c r="R193" i="4" l="1"/>
  <c r="S193" i="4"/>
  <c r="T193" i="4"/>
  <c r="U193" i="4"/>
  <c r="V193" i="4"/>
  <c r="W193" i="4"/>
  <c r="AG193" i="4"/>
  <c r="AH193" i="4"/>
  <c r="AI193" i="4"/>
  <c r="AJ193" i="4"/>
  <c r="AK193" i="4"/>
  <c r="AL193" i="4"/>
  <c r="AU193" i="4"/>
  <c r="AV193" i="4"/>
  <c r="AW193" i="4"/>
  <c r="BC193" i="4"/>
  <c r="P165" i="4"/>
  <c r="Z165" i="4" s="1"/>
  <c r="P159" i="4"/>
  <c r="P153" i="4"/>
  <c r="P147" i="4"/>
  <c r="Z147" i="4" s="1"/>
  <c r="Q147" i="4" s="1"/>
  <c r="I135" i="4"/>
  <c r="L135" i="4" s="1"/>
  <c r="I136" i="4"/>
  <c r="L136" i="4" s="1"/>
  <c r="I137" i="4"/>
  <c r="L137" i="4" s="1"/>
  <c r="I138" i="4"/>
  <c r="L138" i="4" s="1"/>
  <c r="I139" i="4"/>
  <c r="L139" i="4" s="1"/>
  <c r="I140" i="4"/>
  <c r="L140" i="4" s="1"/>
  <c r="P130" i="4"/>
  <c r="AB130" i="4" s="1"/>
  <c r="Q130" i="4" s="1"/>
  <c r="P125" i="4"/>
  <c r="AC125" i="4" s="1"/>
  <c r="Q125" i="4" s="1"/>
  <c r="P68" i="4"/>
  <c r="Q68" i="4" s="1"/>
  <c r="P67" i="4"/>
  <c r="Q67" i="4" s="1"/>
  <c r="P66" i="4"/>
  <c r="Q66" i="4" s="1"/>
  <c r="X58" i="4"/>
  <c r="AD135" i="4" l="1"/>
  <c r="AN135" i="4" s="1"/>
  <c r="AF135" i="4" s="1"/>
  <c r="AS135" i="4"/>
  <c r="AE135" i="4" l="1"/>
  <c r="BB168" i="4" l="1"/>
  <c r="Y168" i="4"/>
  <c r="I168" i="4"/>
  <c r="L168" i="4" s="1"/>
  <c r="N153" i="4"/>
  <c r="AD168" i="4" l="1"/>
  <c r="AE168" i="4" l="1"/>
  <c r="AP168" i="4"/>
  <c r="AF168" i="4" s="1"/>
  <c r="BA86" i="4"/>
  <c r="AT77" i="4"/>
  <c r="BA67" i="4"/>
  <c r="BA66" i="4"/>
  <c r="I114" i="4" l="1"/>
  <c r="L114" i="4" s="1"/>
  <c r="AM58" i="4" l="1"/>
  <c r="AD125" i="4"/>
  <c r="AR125" i="4" s="1"/>
  <c r="AF125" i="4" s="1"/>
  <c r="AD73" i="4"/>
  <c r="AE125" i="4" l="1"/>
  <c r="AE73" i="4" l="1"/>
  <c r="AN73" i="4"/>
  <c r="AF73" i="4" s="1"/>
  <c r="N73" i="4" l="1"/>
  <c r="O73" i="4" s="1"/>
  <c r="P73" i="4" s="1"/>
  <c r="Q73" i="4" s="1"/>
  <c r="Y73" i="4" s="1"/>
  <c r="I167" i="4" l="1"/>
  <c r="L167" i="4" s="1"/>
  <c r="I166" i="4" l="1"/>
  <c r="L166" i="4" s="1"/>
  <c r="I165" i="4"/>
  <c r="L165" i="4" s="1"/>
  <c r="I164" i="4"/>
  <c r="L164" i="4" s="1"/>
  <c r="I163" i="4"/>
  <c r="L163" i="4" s="1"/>
  <c r="I162" i="4"/>
  <c r="L162" i="4" s="1"/>
  <c r="I161" i="4"/>
  <c r="L161" i="4" s="1"/>
  <c r="I160" i="4"/>
  <c r="L160" i="4" s="1"/>
  <c r="I159" i="4"/>
  <c r="L159" i="4" s="1"/>
  <c r="I158" i="4"/>
  <c r="L158" i="4" s="1"/>
  <c r="I157" i="4"/>
  <c r="L157" i="4" s="1"/>
  <c r="I156" i="4"/>
  <c r="L156" i="4" s="1"/>
  <c r="I155" i="4"/>
  <c r="L155" i="4" s="1"/>
  <c r="I154" i="4"/>
  <c r="L154" i="4" s="1"/>
  <c r="I153" i="4"/>
  <c r="L153" i="4" s="1"/>
  <c r="I152" i="4"/>
  <c r="L152" i="4" s="1"/>
  <c r="I151" i="4"/>
  <c r="L151" i="4" s="1"/>
  <c r="I150" i="4"/>
  <c r="L150" i="4" s="1"/>
  <c r="I149" i="4"/>
  <c r="L149" i="4" s="1"/>
  <c r="I148" i="4"/>
  <c r="L148" i="4" s="1"/>
  <c r="I147" i="4"/>
  <c r="L147" i="4" s="1"/>
  <c r="I146" i="4"/>
  <c r="L146" i="4" s="1"/>
  <c r="I145" i="4"/>
  <c r="L145" i="4" s="1"/>
  <c r="I144" i="4"/>
  <c r="L144" i="4" s="1"/>
  <c r="I143" i="4"/>
  <c r="L143" i="4" s="1"/>
  <c r="I142" i="4"/>
  <c r="L142" i="4" s="1"/>
  <c r="I141" i="4"/>
  <c r="L141" i="4" s="1"/>
  <c r="I87" i="4"/>
  <c r="L87" i="4" s="1"/>
  <c r="AM86" i="4" s="1"/>
  <c r="M165" i="4" l="1"/>
  <c r="N165" i="4" s="1"/>
  <c r="X86" i="4"/>
  <c r="M159" i="4"/>
  <c r="N159" i="4" s="1"/>
  <c r="AD165" i="4"/>
  <c r="AO165" i="4" s="1"/>
  <c r="AF165" i="4" s="1"/>
  <c r="AD141" i="4"/>
  <c r="AD147" i="4"/>
  <c r="AE147" i="4" s="1"/>
  <c r="AD153" i="4"/>
  <c r="AE153" i="4" s="1"/>
  <c r="AD159" i="4"/>
  <c r="AE165" i="4" l="1"/>
  <c r="AP153" i="4"/>
  <c r="AF153" i="4" s="1"/>
  <c r="AO159" i="4"/>
  <c r="AF159" i="4" s="1"/>
  <c r="AE159" i="4"/>
  <c r="AO147" i="4"/>
  <c r="AF147" i="4" s="1"/>
  <c r="AE141" i="4"/>
  <c r="AN141" i="4"/>
  <c r="AF141" i="4" s="1"/>
  <c r="I37" i="4"/>
  <c r="L37" i="4" s="1"/>
  <c r="I36" i="4"/>
  <c r="L36" i="4" s="1"/>
  <c r="I35" i="4"/>
  <c r="L35" i="4" s="1"/>
  <c r="I34" i="4"/>
  <c r="L34" i="4" s="1"/>
  <c r="I33" i="4"/>
  <c r="L33" i="4" s="1"/>
  <c r="I32" i="4"/>
  <c r="L32" i="4" s="1"/>
  <c r="I31" i="4"/>
  <c r="L31" i="4" s="1"/>
  <c r="I30" i="4"/>
  <c r="L30" i="4" s="1"/>
  <c r="I29" i="4"/>
  <c r="L29" i="4" s="1"/>
  <c r="I28" i="4"/>
  <c r="L28" i="4" s="1"/>
  <c r="I27" i="4"/>
  <c r="L27" i="4" s="1"/>
  <c r="M27" i="4" l="1"/>
  <c r="AD27" i="4"/>
  <c r="AN27" i="4" s="1"/>
  <c r="I64" i="4"/>
  <c r="L64" i="4" s="1"/>
  <c r="Z58" i="4" l="1"/>
  <c r="Y58" i="4"/>
  <c r="AO58" i="4"/>
  <c r="AN58" i="4"/>
  <c r="M58" i="4"/>
  <c r="I134" i="4"/>
  <c r="L134" i="4" s="1"/>
  <c r="I133" i="4"/>
  <c r="L133" i="4" s="1"/>
  <c r="I132" i="4"/>
  <c r="L132" i="4" s="1"/>
  <c r="I131" i="4"/>
  <c r="L131" i="4" s="1"/>
  <c r="I130" i="4"/>
  <c r="L130" i="4" s="1"/>
  <c r="AE58" i="4" l="1"/>
  <c r="AF58" i="4"/>
  <c r="Q58" i="4"/>
  <c r="M130" i="4"/>
  <c r="N130" i="4" s="1"/>
  <c r="AD130" i="4"/>
  <c r="L129" i="4"/>
  <c r="I129" i="4"/>
  <c r="I128" i="4"/>
  <c r="L128" i="4" s="1"/>
  <c r="I127" i="4"/>
  <c r="L127" i="4" s="1"/>
  <c r="I126" i="4"/>
  <c r="L126" i="4" s="1"/>
  <c r="I125" i="4"/>
  <c r="L125" i="4" s="1"/>
  <c r="AQ130" i="4" l="1"/>
  <c r="AF130" i="4" s="1"/>
  <c r="AE130" i="4"/>
  <c r="M125" i="4"/>
  <c r="N125" i="4" s="1"/>
  <c r="F8" i="4" l="1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AQ8" i="4" s="1"/>
  <c r="AR8" i="4" s="1"/>
  <c r="AS8" i="4" s="1"/>
  <c r="AT8" i="4" s="1"/>
  <c r="AU8" i="4" s="1"/>
  <c r="AV8" i="4" s="1"/>
  <c r="BA8" i="4" s="1"/>
  <c r="I124" i="4" l="1"/>
  <c r="L124" i="4" s="1"/>
  <c r="I123" i="4"/>
  <c r="L123" i="4" s="1"/>
  <c r="M123" i="4" s="1"/>
  <c r="N123" i="4" s="1"/>
  <c r="I122" i="4"/>
  <c r="L122" i="4" s="1"/>
  <c r="I121" i="4"/>
  <c r="L121" i="4" s="1"/>
  <c r="I120" i="4"/>
  <c r="L120" i="4" s="1"/>
  <c r="M120" i="4" s="1"/>
  <c r="M121" i="4" l="1"/>
  <c r="N121" i="4" s="1"/>
  <c r="N120" i="4"/>
  <c r="O120" i="4" s="1"/>
  <c r="O123" i="4"/>
  <c r="P123" i="4" l="1"/>
  <c r="AC123" i="4" s="1"/>
  <c r="AD123" i="4"/>
  <c r="AD120" i="4"/>
  <c r="AC120" i="4"/>
  <c r="P120" i="4"/>
  <c r="O121" i="4"/>
  <c r="P121" i="4" s="1"/>
  <c r="AC121" i="4" s="1"/>
  <c r="AD121" i="4" l="1"/>
  <c r="AR121" i="4" s="1"/>
  <c r="AF121" i="4" s="1"/>
  <c r="AR120" i="4"/>
  <c r="AF120" i="4" s="1"/>
  <c r="AE120" i="4"/>
  <c r="AR123" i="4"/>
  <c r="AF123" i="4" s="1"/>
  <c r="AE123" i="4"/>
  <c r="I119" i="4"/>
  <c r="L119" i="4" s="1"/>
  <c r="I118" i="4"/>
  <c r="L118" i="4" s="1"/>
  <c r="I117" i="4"/>
  <c r="L117" i="4" s="1"/>
  <c r="I116" i="4"/>
  <c r="L116" i="4" s="1"/>
  <c r="I115" i="4"/>
  <c r="L115" i="4" s="1"/>
  <c r="I113" i="4"/>
  <c r="L113" i="4" s="1"/>
  <c r="I112" i="4"/>
  <c r="L112" i="4" s="1"/>
  <c r="I111" i="4"/>
  <c r="L111" i="4" s="1"/>
  <c r="I110" i="4"/>
  <c r="L110" i="4" s="1"/>
  <c r="I109" i="4"/>
  <c r="L109" i="4" s="1"/>
  <c r="I108" i="4"/>
  <c r="L108" i="4" s="1"/>
  <c r="I107" i="4"/>
  <c r="L107" i="4" s="1"/>
  <c r="I106" i="4"/>
  <c r="L106" i="4" s="1"/>
  <c r="I105" i="4"/>
  <c r="L105" i="4" s="1"/>
  <c r="I104" i="4"/>
  <c r="L104" i="4" s="1"/>
  <c r="I103" i="4"/>
  <c r="L103" i="4" s="1"/>
  <c r="M103" i="4" s="1"/>
  <c r="I102" i="4"/>
  <c r="L102" i="4" s="1"/>
  <c r="M102" i="4" s="1"/>
  <c r="I101" i="4"/>
  <c r="L101" i="4" s="1"/>
  <c r="M101" i="4" s="1"/>
  <c r="AE121" i="4" l="1"/>
  <c r="AD113" i="4"/>
  <c r="AQ113" i="4" s="1"/>
  <c r="AF113" i="4" s="1"/>
  <c r="M113" i="4"/>
  <c r="N113" i="4" s="1"/>
  <c r="O113" i="4" s="1"/>
  <c r="AD119" i="4"/>
  <c r="M119" i="4"/>
  <c r="M104" i="4"/>
  <c r="M107" i="4"/>
  <c r="N103" i="4"/>
  <c r="O103" i="4" s="1"/>
  <c r="P103" i="4" s="1"/>
  <c r="AB103" i="4" s="1"/>
  <c r="Q103" i="4" s="1"/>
  <c r="N101" i="4"/>
  <c r="O101" i="4" s="1"/>
  <c r="N102" i="4"/>
  <c r="O102" i="4" s="1"/>
  <c r="P113" i="4" l="1"/>
  <c r="AB113" i="4"/>
  <c r="Q113" i="4" s="1"/>
  <c r="AD101" i="4"/>
  <c r="AE101" i="4" s="1"/>
  <c r="P101" i="4"/>
  <c r="AB101" i="4" s="1"/>
  <c r="Q101" i="4" s="1"/>
  <c r="AE119" i="4"/>
  <c r="AR119" i="4"/>
  <c r="AR193" i="4" s="1"/>
  <c r="AD102" i="4"/>
  <c r="P102" i="4"/>
  <c r="AB102" i="4" s="1"/>
  <c r="Q102" i="4" s="1"/>
  <c r="N119" i="4"/>
  <c r="O119" i="4" s="1"/>
  <c r="P119" i="4" s="1"/>
  <c r="AC119" i="4" s="1"/>
  <c r="AC193" i="4" s="1"/>
  <c r="AD103" i="4"/>
  <c r="N107" i="4"/>
  <c r="O107" i="4" s="1"/>
  <c r="P107" i="4" s="1"/>
  <c r="Q107" i="4" s="1"/>
  <c r="N104" i="4"/>
  <c r="O104" i="4" s="1"/>
  <c r="P104" i="4" s="1"/>
  <c r="Q104" i="4" s="1"/>
  <c r="AQ101" i="4" l="1"/>
  <c r="AF101" i="4" s="1"/>
  <c r="AE113" i="4"/>
  <c r="AQ102" i="4"/>
  <c r="AF102" i="4" s="1"/>
  <c r="AE102" i="4"/>
  <c r="AQ103" i="4"/>
  <c r="AF103" i="4" s="1"/>
  <c r="AE103" i="4"/>
  <c r="AF119" i="4"/>
  <c r="AD104" i="4"/>
  <c r="AB107" i="4"/>
  <c r="AD107" i="4"/>
  <c r="AQ107" i="4" s="1"/>
  <c r="AB104" i="4"/>
  <c r="AB193" i="4" l="1"/>
  <c r="AF107" i="4"/>
  <c r="AE107" i="4"/>
  <c r="AQ104" i="4"/>
  <c r="AF104" i="4" s="1"/>
  <c r="AE104" i="4"/>
  <c r="I99" i="4"/>
  <c r="L99" i="4" s="1"/>
  <c r="M99" i="4" s="1"/>
  <c r="I86" i="4"/>
  <c r="L86" i="4" s="1"/>
  <c r="I85" i="4"/>
  <c r="M86" i="4" l="1"/>
  <c r="AD86" i="4" s="1"/>
  <c r="AE86" i="4"/>
  <c r="Z86" i="4"/>
  <c r="P86" i="4" s="1"/>
  <c r="Q86" i="4" s="1"/>
  <c r="AO86" i="4"/>
  <c r="AF86" i="4" s="1"/>
  <c r="N99" i="4"/>
  <c r="O99" i="4" s="1"/>
  <c r="N86" i="4" l="1"/>
  <c r="P99" i="4"/>
  <c r="AA99" i="4" s="1"/>
  <c r="Q99" i="4" s="1"/>
  <c r="I57" i="4" l="1"/>
  <c r="L57" i="4" s="1"/>
  <c r="I56" i="4"/>
  <c r="L56" i="4" s="1"/>
  <c r="I55" i="4"/>
  <c r="L55" i="4" s="1"/>
  <c r="I54" i="4"/>
  <c r="L54" i="4" s="1"/>
  <c r="I53" i="4"/>
  <c r="L53" i="4" s="1"/>
  <c r="I52" i="4"/>
  <c r="L52" i="4" s="1"/>
  <c r="I51" i="4"/>
  <c r="L51" i="4" s="1"/>
  <c r="I50" i="4"/>
  <c r="L50" i="4" s="1"/>
  <c r="I49" i="4"/>
  <c r="L49" i="4" s="1"/>
  <c r="I48" i="4"/>
  <c r="L48" i="4" s="1"/>
  <c r="I47" i="4"/>
  <c r="L47" i="4" s="1"/>
  <c r="I46" i="4"/>
  <c r="L46" i="4" s="1"/>
  <c r="I45" i="4"/>
  <c r="L45" i="4" s="1"/>
  <c r="I44" i="4"/>
  <c r="L44" i="4" s="1"/>
  <c r="I42" i="4"/>
  <c r="L42" i="4" s="1"/>
  <c r="AM42" i="4" s="1"/>
  <c r="I43" i="4"/>
  <c r="L43" i="4" s="1"/>
  <c r="AQ45" i="4" l="1"/>
  <c r="AQ193" i="4" s="1"/>
  <c r="AO45" i="4"/>
  <c r="AD45" i="4"/>
  <c r="AE45" i="4" s="1"/>
  <c r="Z45" i="4"/>
  <c r="AP193" i="4"/>
  <c r="AA45" i="4"/>
  <c r="AA193" i="4" s="1"/>
  <c r="AN42" i="4"/>
  <c r="AE42" i="4" s="1"/>
  <c r="P42" i="4"/>
  <c r="Q42" i="4" s="1"/>
  <c r="AZ45" i="4"/>
  <c r="AN44" i="4"/>
  <c r="AD44" i="4"/>
  <c r="AE44" i="4" s="1"/>
  <c r="M42" i="4"/>
  <c r="AD42" i="4"/>
  <c r="AZ42" i="4" s="1"/>
  <c r="M44" i="4"/>
  <c r="M45" i="4"/>
  <c r="AF45" i="4" l="1"/>
  <c r="Q45" i="4"/>
  <c r="AF42" i="4"/>
  <c r="O44" i="4"/>
  <c r="P44" i="4" s="1"/>
  <c r="N44" i="4"/>
  <c r="N45" i="4"/>
  <c r="O45" i="4"/>
  <c r="P45" i="4" s="1"/>
  <c r="O42" i="4"/>
  <c r="BA42" i="4" s="1"/>
  <c r="N42" i="4"/>
  <c r="AZ44" i="4"/>
  <c r="BB10" i="4"/>
  <c r="BB11" i="4"/>
  <c r="BB12" i="4"/>
  <c r="BB13" i="4"/>
  <c r="BB14" i="4"/>
  <c r="BB16" i="4"/>
  <c r="BB17" i="4"/>
  <c r="BB18" i="4"/>
  <c r="BB19" i="4"/>
  <c r="BB20" i="4"/>
  <c r="BB22" i="4"/>
  <c r="BB23" i="4"/>
  <c r="BB24" i="4"/>
  <c r="BB25" i="4"/>
  <c r="BB26" i="4"/>
  <c r="BB28" i="4"/>
  <c r="BB29" i="4"/>
  <c r="BB30" i="4"/>
  <c r="BB37" i="4"/>
  <c r="BB59" i="4"/>
  <c r="BB60" i="4"/>
  <c r="BB61" i="4"/>
  <c r="BB62" i="4"/>
  <c r="BB63" i="4"/>
  <c r="BB65" i="4"/>
  <c r="BB69" i="4"/>
  <c r="BB70" i="4"/>
  <c r="BB71" i="4"/>
  <c r="BB72" i="4"/>
  <c r="BB74" i="4"/>
  <c r="BB75" i="4"/>
  <c r="BB76" i="4"/>
  <c r="BB78" i="4"/>
  <c r="BB79" i="4"/>
  <c r="BB80" i="4"/>
  <c r="BB81" i="4"/>
  <c r="BB82" i="4"/>
  <c r="BB83" i="4"/>
  <c r="BB84" i="4"/>
  <c r="BB85" i="4"/>
  <c r="AS45" i="4" l="1"/>
  <c r="Q44" i="4"/>
  <c r="BA44" i="4"/>
  <c r="I40" i="4"/>
  <c r="L40" i="4" s="1"/>
  <c r="AM38" i="4" l="1"/>
  <c r="AM193" i="4" s="1"/>
  <c r="X38" i="4"/>
  <c r="X193" i="4" s="1"/>
  <c r="AX38" i="4"/>
  <c r="AX193" i="4" s="1"/>
  <c r="L85" i="4" l="1"/>
  <c r="I84" i="4"/>
  <c r="L84" i="4" s="1"/>
  <c r="I83" i="4"/>
  <c r="L83" i="4" s="1"/>
  <c r="I82" i="4"/>
  <c r="L82" i="4" s="1"/>
  <c r="I81" i="4"/>
  <c r="L81" i="4" s="1"/>
  <c r="I80" i="4"/>
  <c r="L80" i="4" s="1"/>
  <c r="I79" i="4"/>
  <c r="L79" i="4" s="1"/>
  <c r="I78" i="4"/>
  <c r="L78" i="4" s="1"/>
  <c r="I77" i="4"/>
  <c r="L77" i="4" s="1"/>
  <c r="AN77" i="4" l="1"/>
  <c r="Y77" i="4"/>
  <c r="Z77" i="4"/>
  <c r="Z193" i="4" s="1"/>
  <c r="AO77" i="4"/>
  <c r="AO193" i="4" s="1"/>
  <c r="AD77" i="4"/>
  <c r="M77" i="4"/>
  <c r="N77" i="4" s="1"/>
  <c r="I69" i="4"/>
  <c r="L69" i="4" s="1"/>
  <c r="AD68" i="4" s="1"/>
  <c r="Q77" i="4" l="1"/>
  <c r="AF77" i="4"/>
  <c r="AE77" i="4" s="1"/>
  <c r="AE68" i="4"/>
  <c r="AN68" i="4"/>
  <c r="AF68" i="4" s="1"/>
  <c r="M68" i="4"/>
  <c r="N68" i="4" s="1"/>
  <c r="BB73" i="4"/>
  <c r="Y68" i="4" l="1"/>
  <c r="BB68" i="4"/>
  <c r="N58" i="4" l="1"/>
  <c r="I67" i="4"/>
  <c r="L67" i="4" s="1"/>
  <c r="I66" i="4"/>
  <c r="L66" i="4" s="1"/>
  <c r="I41" i="4"/>
  <c r="L41" i="4" s="1"/>
  <c r="O58" i="4" l="1"/>
  <c r="AD66" i="4"/>
  <c r="M66" i="4"/>
  <c r="N66" i="4" s="1"/>
  <c r="AD67" i="4"/>
  <c r="M67" i="4"/>
  <c r="N67" i="4" s="1"/>
  <c r="Y67" i="4"/>
  <c r="BB67" i="4"/>
  <c r="I39" i="4"/>
  <c r="L39" i="4" s="1"/>
  <c r="AD58" i="4" l="1"/>
  <c r="P58" i="4"/>
  <c r="AN67" i="4"/>
  <c r="AF67" i="4" s="1"/>
  <c r="AE67" i="4"/>
  <c r="AE66" i="4"/>
  <c r="AN66" i="4"/>
  <c r="AF66" i="4" s="1"/>
  <c r="Y66" i="4"/>
  <c r="BB66" i="4"/>
  <c r="I9" i="4"/>
  <c r="BB58" i="4" l="1"/>
  <c r="I10" i="4"/>
  <c r="I38" i="4" l="1"/>
  <c r="L38" i="4" s="1"/>
  <c r="AN38" i="4" l="1"/>
  <c r="AE38" i="4" s="1"/>
  <c r="M38" i="4"/>
  <c r="O38" i="4" s="1"/>
  <c r="AS38" i="4" s="1"/>
  <c r="Y38" i="4"/>
  <c r="P38" i="4"/>
  <c r="Q38" i="4" s="1"/>
  <c r="G10" i="5"/>
  <c r="AF38" i="4" l="1"/>
  <c r="AD38" i="4"/>
  <c r="BA38" i="4"/>
  <c r="AY38" i="4"/>
  <c r="AT38" i="4"/>
  <c r="N38" i="4"/>
  <c r="I26" i="4" l="1"/>
  <c r="L26" i="4" s="1"/>
  <c r="I25" i="4"/>
  <c r="L25" i="4" s="1"/>
  <c r="I24" i="4"/>
  <c r="L24" i="4" s="1"/>
  <c r="I23" i="4"/>
  <c r="L23" i="4" s="1"/>
  <c r="I22" i="4"/>
  <c r="L22" i="4" s="1"/>
  <c r="I21" i="4"/>
  <c r="L21" i="4" s="1"/>
  <c r="N27" i="4" l="1"/>
  <c r="M21" i="4"/>
  <c r="O21" i="4" s="1"/>
  <c r="O27" i="4" l="1"/>
  <c r="AD21" i="4"/>
  <c r="BA21" i="4"/>
  <c r="N21" i="4"/>
  <c r="I20" i="4"/>
  <c r="L20" i="4" s="1"/>
  <c r="I19" i="4"/>
  <c r="L19" i="4" s="1"/>
  <c r="I18" i="4"/>
  <c r="L18" i="4" s="1"/>
  <c r="I17" i="4"/>
  <c r="L17" i="4" s="1"/>
  <c r="I16" i="4"/>
  <c r="L16" i="4" s="1"/>
  <c r="I15" i="4"/>
  <c r="L15" i="4" s="1"/>
  <c r="I13" i="4"/>
  <c r="L13" i="4" s="1"/>
  <c r="AN21" i="4" l="1"/>
  <c r="AF21" i="4" s="1"/>
  <c r="AE21" i="4"/>
  <c r="P27" i="4"/>
  <c r="Y27" i="4" s="1"/>
  <c r="AF27" i="4"/>
  <c r="AE27" i="4"/>
  <c r="M15" i="4"/>
  <c r="Q21" i="4"/>
  <c r="Y21" i="4"/>
  <c r="Q27" i="4" l="1"/>
  <c r="O15" i="4"/>
  <c r="N15" i="4"/>
  <c r="I12" i="4"/>
  <c r="L12" i="4" s="1"/>
  <c r="I11" i="4"/>
  <c r="L11" i="4" s="1"/>
  <c r="AD15" i="4" l="1"/>
  <c r="AY15" i="4" s="1"/>
  <c r="P15" i="4"/>
  <c r="L10" i="4"/>
  <c r="I14" i="4"/>
  <c r="L14" i="4" s="1"/>
  <c r="AN15" i="4" l="1"/>
  <c r="AF15" i="4" s="1"/>
  <c r="AE15" i="4"/>
  <c r="AT15" i="4"/>
  <c r="AS15" i="4"/>
  <c r="Q15" i="4"/>
  <c r="BB15" i="4" s="1"/>
  <c r="Y15" i="4"/>
  <c r="L9" i="4"/>
  <c r="M9" i="4" s="1"/>
  <c r="O9" i="4" l="1"/>
  <c r="O193" i="4" s="1"/>
  <c r="M193" i="4"/>
  <c r="AZ15" i="4"/>
  <c r="BA15" i="4"/>
  <c r="H9" i="5"/>
  <c r="G9" i="5"/>
  <c r="P9" i="4" l="1"/>
  <c r="P193" i="4" s="1"/>
  <c r="N9" i="4"/>
  <c r="N193" i="4" s="1"/>
  <c r="J9" i="5"/>
  <c r="L9" i="5" s="1"/>
  <c r="I9" i="5"/>
  <c r="K9" i="5" s="1"/>
  <c r="AD9" i="4" l="1"/>
  <c r="AD193" i="4" s="1"/>
  <c r="G8" i="5"/>
  <c r="H7" i="5"/>
  <c r="G7" i="5"/>
  <c r="AE9" i="4" l="1"/>
  <c r="AE193" i="4" s="1"/>
  <c r="AN9" i="4"/>
  <c r="AN193" i="4" s="1"/>
  <c r="Q9" i="4"/>
  <c r="AS9" i="4"/>
  <c r="AS193" i="4" s="1"/>
  <c r="AY9" i="4"/>
  <c r="AY193" i="4" s="1"/>
  <c r="J7" i="5"/>
  <c r="I7" i="5"/>
  <c r="BA135" i="4" l="1"/>
  <c r="AF9" i="4"/>
  <c r="BA9" i="4"/>
  <c r="BA125" i="4"/>
  <c r="BA119" i="4"/>
  <c r="BA112" i="4"/>
  <c r="BA106" i="4"/>
  <c r="BA100" i="4"/>
  <c r="BA99" i="4"/>
  <c r="BA165" i="4"/>
  <c r="BA130" i="4"/>
  <c r="BA124" i="4"/>
  <c r="BA118" i="4"/>
  <c r="BA111" i="4"/>
  <c r="BA159" i="4"/>
  <c r="BA129" i="4"/>
  <c r="BA123" i="4"/>
  <c r="BA117" i="4"/>
  <c r="BA110" i="4"/>
  <c r="BA104" i="4"/>
  <c r="BA153" i="4"/>
  <c r="BA128" i="4"/>
  <c r="BA122" i="4"/>
  <c r="BA116" i="4"/>
  <c r="BA109" i="4"/>
  <c r="BA103" i="4"/>
  <c r="BA88" i="4"/>
  <c r="BA27" i="4"/>
  <c r="BA147" i="4"/>
  <c r="BA127" i="4"/>
  <c r="BA121" i="4"/>
  <c r="BA115" i="4"/>
  <c r="BA108" i="4"/>
  <c r="BA102" i="4"/>
  <c r="BA58" i="4"/>
  <c r="BA141" i="4"/>
  <c r="BA126" i="4"/>
  <c r="BA120" i="4"/>
  <c r="BA113" i="4"/>
  <c r="BA107" i="4"/>
  <c r="BA101" i="4"/>
  <c r="BA77" i="4"/>
  <c r="BA45" i="4"/>
  <c r="BA105" i="4"/>
  <c r="BA68" i="4"/>
  <c r="AT9" i="4"/>
  <c r="AT193" i="4" s="1"/>
  <c r="Y9" i="4"/>
  <c r="Y193" i="4" s="1"/>
  <c r="AZ9" i="4"/>
  <c r="AZ193" i="4" s="1"/>
  <c r="K7" i="5"/>
  <c r="K11" i="5" s="1"/>
  <c r="I11" i="5"/>
  <c r="L7" i="5"/>
  <c r="L11" i="5" s="1"/>
  <c r="J11" i="5"/>
  <c r="G11" i="2"/>
  <c r="I11" i="2" s="1"/>
  <c r="J11" i="2" s="1"/>
  <c r="G10" i="2"/>
  <c r="I10" i="2" s="1"/>
  <c r="J10" i="2" s="1"/>
  <c r="G9" i="2"/>
  <c r="I9" i="2" s="1"/>
  <c r="J9" i="2" s="1"/>
  <c r="G8" i="2"/>
  <c r="I8" i="2" s="1"/>
  <c r="J8" i="2" s="1"/>
  <c r="G7" i="2"/>
  <c r="I7" i="2" s="1"/>
  <c r="J7" i="2" s="1"/>
  <c r="G6" i="2"/>
  <c r="I6" i="2" s="1"/>
  <c r="J6" i="2" s="1"/>
  <c r="G5" i="2"/>
  <c r="I5" i="2" s="1"/>
  <c r="J5" i="2" s="1"/>
  <c r="B5" i="2"/>
  <c r="B6" i="2" s="1"/>
  <c r="B7" i="2" s="1"/>
  <c r="B8" i="2" s="1"/>
  <c r="B9" i="2" s="1"/>
  <c r="B10" i="2" s="1"/>
  <c r="B11" i="2" s="1"/>
  <c r="G4" i="2"/>
  <c r="I4" i="2" s="1"/>
  <c r="J4" i="2" s="1"/>
  <c r="BA193" i="4" l="1"/>
  <c r="BB9" i="4"/>
  <c r="J12" i="2"/>
  <c r="BB77" i="4" l="1"/>
  <c r="BB21" i="4" l="1"/>
  <c r="BB27" i="4"/>
  <c r="AF44" i="4"/>
  <c r="BB193" i="4" l="1"/>
  <c r="Q119" i="4"/>
  <c r="Q120" i="4"/>
  <c r="Q121" i="4"/>
  <c r="Q123" i="4"/>
  <c r="AF193" i="4"/>
  <c r="Q193" i="4" l="1"/>
</calcChain>
</file>

<file path=xl/sharedStrings.xml><?xml version="1.0" encoding="utf-8"?>
<sst xmlns="http://schemas.openxmlformats.org/spreadsheetml/2006/main" count="1348" uniqueCount="302">
  <si>
    <t>№ п/п</t>
  </si>
  <si>
    <t>Вид работ</t>
  </si>
  <si>
    <t>№ расценки</t>
  </si>
  <si>
    <t>Стоимость в ценах на 01.01.2015</t>
  </si>
  <si>
    <t>Дефлятор текущих цен</t>
  </si>
  <si>
    <t>Стоимость в текущих ценах</t>
  </si>
  <si>
    <t>Стоимость с НДС</t>
  </si>
  <si>
    <t>Кол-во, км</t>
  </si>
  <si>
    <t>ИТОГО</t>
  </si>
  <si>
    <t>Цена, млн. руб.</t>
  </si>
  <si>
    <t>млн. руб.</t>
  </si>
  <si>
    <t>заполнять</t>
  </si>
  <si>
    <t>не заполнять</t>
  </si>
  <si>
    <t>Расчет стоимости строительства КЛ</t>
  </si>
  <si>
    <t>Напряжение, кВ</t>
  </si>
  <si>
    <t>Норматив цены, млн. руб.</t>
  </si>
  <si>
    <t>Полная стоимость в текущих ценах</t>
  </si>
  <si>
    <t>Полная стоимость в текущих ценах с НДС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</si>
  <si>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 (Приказ Минэнерго от 08.02.2016 №75)</t>
  </si>
  <si>
    <t>Год раскрытия информации: 2018 год</t>
  </si>
  <si>
    <t>П3-03</t>
  </si>
  <si>
    <t>Л2-44-2</t>
  </si>
  <si>
    <t>Строительство ВЛ 35 кВ от ПС 110 кВ Вольная до ПС 35 кВ Весенняя (ПИР, СМР, ввод-2019г.)</t>
  </si>
  <si>
    <t>Строительство ВЛ 110 кВ Соколовская-Вольная-2 (ПИР, СМР, ввод-2019г.)</t>
  </si>
  <si>
    <t>Л1-44-4</t>
  </si>
  <si>
    <t>П3-10</t>
  </si>
  <si>
    <t>Полная стоимость в прогнозных ценах  с НДС</t>
  </si>
  <si>
    <t>Полная стоимость в прогнозных ценах</t>
  </si>
  <si>
    <t>Начальник производственно- технического отдела  филиала ООО ХК "СДС-Энерго"-"Прокопьевскэнерго"</t>
  </si>
  <si>
    <t>А.А. Гребенчук</t>
  </si>
  <si>
    <t xml:space="preserve"> Таблица 1. Строительство (реконструкция) ВЛ 6-750 кВ</t>
  </si>
  <si>
    <t>По объектам  инвестиционной программы ООО ХК "СДС-Энерго" на 2020 год</t>
  </si>
  <si>
    <t>Наименование</t>
  </si>
  <si>
    <t>единица</t>
  </si>
  <si>
    <t>км</t>
  </si>
  <si>
    <t>Коэффициент перехода (пересчета) от базового УНЦ к УНЦ субъектов РФ</t>
  </si>
  <si>
    <t>-</t>
  </si>
  <si>
    <t>ячейка</t>
  </si>
  <si>
    <t>В7-01</t>
  </si>
  <si>
    <t>Напряжение 6 кВ</t>
  </si>
  <si>
    <t>П6-06</t>
  </si>
  <si>
    <t>объект</t>
  </si>
  <si>
    <t>Л3-02-1</t>
  </si>
  <si>
    <t xml:space="preserve">Напряжение - 6 кВ, тип опор и количество цепей - одноцепная, все типы опор за исключением многогранных </t>
  </si>
  <si>
    <t>Л4-02-1</t>
  </si>
  <si>
    <t>тн опор</t>
  </si>
  <si>
    <t xml:space="preserve">Напряжение - 6 кВ,тип опор - все типы опор за исключением многогранных </t>
  </si>
  <si>
    <t>Л7-06-3</t>
  </si>
  <si>
    <t>Б7-02</t>
  </si>
  <si>
    <t>га</t>
  </si>
  <si>
    <t>Количество фазных проводов - 1 шт, сечение фазного провода - 150 мм2, тип провода - СИП-3</t>
  </si>
  <si>
    <t>Расчистка кустарников и мелколесья, вырубка деревьев с диаметром ствола до 11 см. 12 см и более</t>
  </si>
  <si>
    <t>П6-07</t>
  </si>
  <si>
    <t xml:space="preserve">Затраты по УНЦ от 6 до 10,9 </t>
  </si>
  <si>
    <t>Ц1-42-4</t>
  </si>
  <si>
    <t>Ц2-42-35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</si>
  <si>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</si>
  <si>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Л7-04-3</t>
  </si>
  <si>
    <t>Количество фазных проводов - 1 шт, сечение фазного провода - 70 мм2, тип провода - СИП-3</t>
  </si>
  <si>
    <t>Ц1-42-2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</si>
  <si>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</si>
  <si>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И2-01-1</t>
  </si>
  <si>
    <t>Напряжение - 35 кВ, номинальный ток - 2000 А, номинальный ток отключения - 25 кА</t>
  </si>
  <si>
    <t>В8-01-1</t>
  </si>
  <si>
    <t>Напряжение - 6 кВ, номинальный ток - 1000 А, номинальный ток отключения - 20 кА</t>
  </si>
  <si>
    <t>И10-01-1</t>
  </si>
  <si>
    <t>Наименование - ТТ на три фазы, напряжение - 35 кВ.</t>
  </si>
  <si>
    <t>Ц1-42-3</t>
  </si>
  <si>
    <t>П6-08</t>
  </si>
  <si>
    <t xml:space="preserve">Затраты по УНЦ от 11 до 20,9 </t>
  </si>
  <si>
    <t>И12-08</t>
  </si>
  <si>
    <t>Прочие устройства (аппаратура)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</si>
  <si>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 (Приказ Минэнерго от 17.01.2019 №10)</t>
  </si>
  <si>
    <t>И5-06-2</t>
  </si>
  <si>
    <t>Напряжение - 35 кВ</t>
  </si>
  <si>
    <t>Напряжение - 35 кВ, номинальный ток 630 А, номинальный ток отключения 20кА</t>
  </si>
  <si>
    <t>Технические характеристики</t>
  </si>
  <si>
    <t>Количество</t>
  </si>
  <si>
    <t>Единицы измерения</t>
  </si>
  <si>
    <t xml:space="preserve">Укрупненный норматив цены,  тыс рублей (без НДС) </t>
  </si>
  <si>
    <t>Величина затрат, тыс рублей (без НДС)</t>
  </si>
  <si>
    <t>Реконструкция сооружения ЛЭП 6 кВ 6-11-Т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</si>
  <si>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НДС</t>
  </si>
  <si>
    <t xml:space="preserve">Итого объем финансовых потребностей, в ценах, в которых рассчитаны укрупненные нормативы цены с учетом переводного коэффициента (без НДС) </t>
  </si>
  <si>
    <t>Итого объем финансовых потребностей ОФПУНЦd, определенный в текущих ценах, в которых рассчитаны укрупненные нормативы цены  (с НДС)</t>
  </si>
  <si>
    <r>
      <rPr>
        <b/>
        <sz val="11"/>
        <rFont val="Times New Roman"/>
        <family val="1"/>
        <charset val="204"/>
      </rPr>
      <t xml:space="preserve">Объем финансовых потребностей </t>
    </r>
    <r>
      <rPr>
        <b/>
        <i/>
        <sz val="11"/>
        <rFont val="Times New Roman"/>
        <family val="1"/>
        <charset val="204"/>
      </rPr>
      <t>ОФП</t>
    </r>
    <r>
      <rPr>
        <b/>
        <i/>
        <vertAlign val="subscript"/>
        <sz val="11"/>
        <rFont val="Times New Roman"/>
        <family val="1"/>
        <charset val="204"/>
      </rPr>
      <t>ПР</t>
    </r>
    <r>
      <rPr>
        <b/>
        <i/>
        <vertAlign val="superscript"/>
        <sz val="11"/>
        <rFont val="Times New Roman"/>
        <family val="1"/>
        <charset val="204"/>
      </rPr>
      <t xml:space="preserve">УНЦ </t>
    </r>
    <r>
      <rPr>
        <b/>
        <sz val="11"/>
        <rFont val="Times New Roman"/>
        <family val="1"/>
        <charset val="204"/>
      </rPr>
      <t>(в прогнозных ценах с НДС)</t>
    </r>
  </si>
  <si>
    <t>Итого фактический объем финансовых потребностей ОФПУНЦd, определенный в текущих ценах, в которых рассчитаны укрупненные нормативы цены  (с НДС)</t>
  </si>
  <si>
    <t>В3-13-1</t>
  </si>
  <si>
    <t>Т5-10-3</t>
  </si>
  <si>
    <t>Мощность 100кВА, Т-35/0,23</t>
  </si>
  <si>
    <t>Э3-08-2</t>
  </si>
  <si>
    <t>Мощность 630 кВА</t>
  </si>
  <si>
    <t>Ц1-42-5</t>
  </si>
  <si>
    <t>Т4-13-2</t>
  </si>
  <si>
    <t>Мощность трансформатора 63 МВА, двухобмоточный, напряжение 110/6 кВ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</si>
  <si>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</si>
  <si>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Выполнение работ по модернизации системы телемеханики на ПС 110/10 кВ "Керамзитовая" (ПИР- 2019 г., СМР, ПНР, ввод - 2020 г.)</t>
  </si>
  <si>
    <t>А3-01</t>
  </si>
  <si>
    <t>Затраты по УНЦ,млн.руб.</t>
  </si>
  <si>
    <t>Напряжение, 35кВ и выше</t>
  </si>
  <si>
    <t>Ц1-42-11</t>
  </si>
  <si>
    <t>Выполнение работ по модернизации системы телемеханики на ПС 110/6,6/6,3 кВ "Набережная" (ПИР, СМР, ПНР, ввод - 2020 г.)</t>
  </si>
  <si>
    <t>А4-01</t>
  </si>
  <si>
    <t>Напряжение, 6кВ</t>
  </si>
  <si>
    <t>0,4; 6; 10</t>
  </si>
  <si>
    <t>П6-09</t>
  </si>
  <si>
    <t>А1-01</t>
  </si>
  <si>
    <t xml:space="preserve">точка учета </t>
  </si>
  <si>
    <t>Класс напряжения объекта 0,23кВ, прибор учета однофазный</t>
  </si>
  <si>
    <t>А1-02</t>
  </si>
  <si>
    <t>Класс напряжения объекта 0,4кВ, прибор учета трехфазный</t>
  </si>
  <si>
    <t>А2-01</t>
  </si>
  <si>
    <t>ИВКЭ для ТП, РУ 6-20кВ</t>
  </si>
  <si>
    <t>А2-02</t>
  </si>
  <si>
    <t>ИВКЭ для ПС 35кВ и выше</t>
  </si>
  <si>
    <t>А5-01</t>
  </si>
  <si>
    <t>Шкаф ЦК ПС</t>
  </si>
  <si>
    <t>А5-02</t>
  </si>
  <si>
    <t>Сервер АСУТП и ТМ (ССПТИ)</t>
  </si>
  <si>
    <t>А5-05</t>
  </si>
  <si>
    <t>Шкаф с 6 коммутаторами</t>
  </si>
  <si>
    <t>А5-06</t>
  </si>
  <si>
    <t>Шкаф гарантированного питания  АСУТП и ТМ (ССПТИ)</t>
  </si>
  <si>
    <t>А5-08</t>
  </si>
  <si>
    <t>АРМ оперативного персонала</t>
  </si>
  <si>
    <t>Л3-04-1</t>
  </si>
  <si>
    <t>Тип опор и количество цепей - одноцепная, все типы опор за исключением многогранных</t>
  </si>
  <si>
    <t>Л4-03-1</t>
  </si>
  <si>
    <t>Л5-05</t>
  </si>
  <si>
    <t xml:space="preserve">Сечение фазного провода - 185 мм2, </t>
  </si>
  <si>
    <t>Л6-07</t>
  </si>
  <si>
    <t>Диаметр - 14,2 мм</t>
  </si>
  <si>
    <t>Б7-03</t>
  </si>
  <si>
    <t>Ц2-42-23</t>
  </si>
  <si>
    <t>М4-01</t>
  </si>
  <si>
    <t>Л5-04</t>
  </si>
  <si>
    <t>Сечение фазного провода - 150 мм2</t>
  </si>
  <si>
    <t>О1-03-1</t>
  </si>
  <si>
    <t>Механическая прочность на разрыв в кН 114, кол-во волокон в тросе 24</t>
  </si>
  <si>
    <t>Л1-03-1</t>
  </si>
  <si>
    <t>П3-07</t>
  </si>
  <si>
    <t>Напряжение - 35 кВ, протяженность - 5 км.</t>
  </si>
  <si>
    <t>К1-05-2</t>
  </si>
  <si>
    <t>Б2-02-2</t>
  </si>
  <si>
    <t>Н2-04</t>
  </si>
  <si>
    <t>П5-01</t>
  </si>
  <si>
    <t>1 км</t>
  </si>
  <si>
    <t>1 км по трассе</t>
  </si>
  <si>
    <t>Кабель с алюминеевой жилой,сечение жилы 120 мм2, напряжение 10 кВ</t>
  </si>
  <si>
    <t>Напряжение 10 кВ, две цепи КЛ, без восстановления газонов, все субъекты</t>
  </si>
  <si>
    <t>Кабельная эстакада</t>
  </si>
  <si>
    <t>Напряжение - 10 кВ</t>
  </si>
  <si>
    <t>Ц1-42-7</t>
  </si>
  <si>
    <t>Строительство  КЛ 10 кВ ПС 110/10 кВ "Керамзитовая"</t>
  </si>
  <si>
    <r>
      <t xml:space="preserve">Объем финансирования инвестиций по инвестиционному проекту </t>
    </r>
    <r>
      <rPr>
        <b/>
        <i/>
        <sz val="11"/>
        <rFont val="Times New Roman"/>
        <family val="1"/>
        <charset val="204"/>
      </rPr>
      <t>ОФ</t>
    </r>
    <r>
      <rPr>
        <b/>
        <i/>
        <vertAlign val="subscript"/>
        <sz val="11"/>
        <rFont val="Times New Roman"/>
        <family val="1"/>
        <charset val="204"/>
      </rPr>
      <t>ПР</t>
    </r>
    <r>
      <rPr>
        <b/>
        <i/>
        <vertAlign val="superscript"/>
        <sz val="11"/>
        <rFont val="Times New Roman"/>
        <family val="1"/>
        <charset val="204"/>
      </rPr>
      <t>всего</t>
    </r>
    <r>
      <rPr>
        <b/>
        <sz val="11"/>
        <rFont val="Times New Roman"/>
        <family val="1"/>
        <charset val="204"/>
      </rPr>
      <t xml:space="preserve"> (в прогнозных ценах с НДС), в том числе:</t>
    </r>
  </si>
  <si>
    <r>
      <t xml:space="preserve">Фактический объем финансирования инвестиций по инвестиционному проекту </t>
    </r>
    <r>
      <rPr>
        <b/>
        <i/>
        <sz val="11"/>
        <rFont val="Times New Roman"/>
        <family val="1"/>
        <charset val="204"/>
      </rPr>
      <t>Ф</t>
    </r>
    <r>
      <rPr>
        <b/>
        <i/>
        <vertAlign val="subscript"/>
        <sz val="11"/>
        <rFont val="Times New Roman"/>
        <family val="1"/>
        <charset val="204"/>
      </rPr>
      <t xml:space="preserve">d </t>
    </r>
    <r>
      <rPr>
        <b/>
        <sz val="11"/>
        <rFont val="Times New Roman"/>
        <family val="1"/>
        <charset val="204"/>
      </rPr>
      <t xml:space="preserve">(с НДС) </t>
    </r>
    <r>
      <rPr>
        <b/>
        <vertAlign val="superscript"/>
        <sz val="11"/>
        <rFont val="Times New Roman"/>
        <family val="1"/>
        <charset val="204"/>
      </rPr>
      <t>2)</t>
    </r>
  </si>
  <si>
    <r>
      <t xml:space="preserve">Объем финансовых потребностей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Times New Roman"/>
        <family val="1"/>
        <charset val="204"/>
      </rPr>
      <t>ОФП</t>
    </r>
    <r>
      <rPr>
        <b/>
        <i/>
        <vertAlign val="superscript"/>
        <sz val="11"/>
        <rFont val="Times New Roman"/>
        <family val="1"/>
        <charset val="204"/>
      </rPr>
      <t>УНЦ</t>
    </r>
    <r>
      <rPr>
        <b/>
        <i/>
        <vertAlign val="subscript"/>
        <sz val="11"/>
        <rFont val="Times New Roman"/>
        <family val="1"/>
        <charset val="204"/>
      </rPr>
      <t xml:space="preserve">d  </t>
    </r>
    <r>
      <rPr>
        <b/>
        <sz val="11"/>
        <rFont val="Times New Roman"/>
        <family val="1"/>
        <charset val="204"/>
      </rPr>
      <t xml:space="preserve">(с НДС) </t>
    </r>
    <r>
      <rPr>
        <b/>
        <vertAlign val="superscript"/>
        <sz val="11"/>
        <rFont val="Times New Roman"/>
        <family val="1"/>
        <charset val="204"/>
      </rPr>
      <t>2)</t>
    </r>
  </si>
  <si>
    <t>35;6</t>
  </si>
  <si>
    <t>В3-14-1</t>
  </si>
  <si>
    <t>Напряжение 35 кВ номинальный ток 1000А, номинальный ток отключение - 25кА</t>
  </si>
  <si>
    <t>П6-10</t>
  </si>
  <si>
    <t>Т4-05-1</t>
  </si>
  <si>
    <t>Мощность 25 МВА</t>
  </si>
  <si>
    <t>В3-01-1</t>
  </si>
  <si>
    <t>Напряжение 35 кВ номинальный ток 1000 А, номинальный ток отключение - 25кА</t>
  </si>
  <si>
    <t>В3-03-1</t>
  </si>
  <si>
    <t>Напряжение 35 кВ номинальный ток 3150 А, номинальный ток отключение - 25кА</t>
  </si>
  <si>
    <t>Л3-03-2</t>
  </si>
  <si>
    <t>Тип опор и количество цепей - двухцепная, все типы опор за исключением многогранных</t>
  </si>
  <si>
    <t>Ц1-42-35</t>
  </si>
  <si>
    <t>Б1-10</t>
  </si>
  <si>
    <t>м2</t>
  </si>
  <si>
    <t>Подготовка и устройство территории ПС</t>
  </si>
  <si>
    <t>тн</t>
  </si>
  <si>
    <t>П3-12</t>
  </si>
  <si>
    <t>Напряжение - 110 кВ, протяженность - 10 км.</t>
  </si>
  <si>
    <t>П2-01</t>
  </si>
  <si>
    <t>1 ед.</t>
  </si>
  <si>
    <t>Ячейка выключателя, напряжение 3,5 кВ</t>
  </si>
  <si>
    <t>План</t>
  </si>
  <si>
    <t>Предложение по корретировке плана</t>
  </si>
  <si>
    <t>Стоимость в ценах на 01.01.2018г.  с учетом коэффициента</t>
  </si>
  <si>
    <t xml:space="preserve">дефлятор от </t>
  </si>
  <si>
    <t>нд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</si>
  <si>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</si>
  <si>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Напряжение - 35 кВ, номинальный ток - 1000 А, номинальный ток напряжения - 25 кА</t>
  </si>
  <si>
    <t xml:space="preserve">Затраты по УНЦ от 21 до 50,9 </t>
  </si>
  <si>
    <t>Реконструкции ЗРУ-10 кВ,  ПС 110/10 кВ "Керамзитовая". Замена ячеек КРУ-10.(ПИР - 2021 г., СМР, ПНР, ввод - 2022 г.)</t>
  </si>
  <si>
    <t>Т4-06-2</t>
  </si>
  <si>
    <t>Мощность - 10 МВА, обозначение двухобмоточного трансформатора - 110 кВ</t>
  </si>
  <si>
    <t>Т4-07-1</t>
  </si>
  <si>
    <t>Мощность - 16 МВА, обозначение двухобмоточного трансформатора - 35 кВ</t>
  </si>
  <si>
    <t>Замена отработавшего срок эксплуатации трансформатора Т-2 ТДНС-16000 кВА 35/6 кВ на ПС 35/6 кВ  "Шурапская"(СМР, ПНР, ввод - 2023 г.)</t>
  </si>
  <si>
    <t>Замена отработавшего срок эксплуатации трансформатора Т-2 ТДНС-10000 кВА 35/6 кВ на ПС 35/6 кВ № 10. (СМР, ПНР, ввод - 2023 г.)</t>
  </si>
  <si>
    <t>Т4-06-1</t>
  </si>
  <si>
    <t>Мощность - 10 МВА, обозначение двухобмоточного трансформатора - 35 кВ</t>
  </si>
  <si>
    <t>Замена отработавшего срок эксплуатации трансформатора Т-3 ТДНС-10000 кВА 35/6 кВ на ПС 35/6 кВ № 42 (СМР, ПНР, ввод - 2023 г.)</t>
  </si>
  <si>
    <t>Реконструкция ПС  35/6 кВ № 1 ЗРУ-35 с заменой масляных выключателей 35 на вакуумные, установка ШОТ.(ПИР, СМР, ПНР, ввод - 2023 г.)</t>
  </si>
  <si>
    <t>В2-05-1</t>
  </si>
  <si>
    <t>Напряжение - 35 кВ, номинальный ток - 2000 А, номинальный ток напряжения - 25 кА</t>
  </si>
  <si>
    <t>И1 3-05</t>
  </si>
  <si>
    <t>Шкаф с зарядно-подзарядными устройствами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</si>
  <si>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</si>
  <si>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 xml:space="preserve">Затраты по УНЦ от 1,1 до 5,9 </t>
  </si>
  <si>
    <t>Замена отработавшего срок эксплуатации трансформатора Т-2 ТДНС-10000 кВА  на ПС 110/10 кВ "Керамзитовая (СМР, ПНР, ввод - 2024 г.)</t>
  </si>
  <si>
    <t xml:space="preserve">Реконструкция ОРУ-35 кВ ПС 35/6 кВ № 41 с установкой блок-модуля 35 кВ (СМР, ПНР, ввод - 2024 г.) </t>
  </si>
  <si>
    <t>Реконструкция ЗРУ-6 кВ ПС 6/0,4 кВ № 32 с устройствами РЗиА,  установкой ШОТ (СМР, ПНР, ввод - 2024 г.)</t>
  </si>
  <si>
    <t>В2-01-1</t>
  </si>
  <si>
    <t>Напряжение - 6 кВ, номинальный ток - 630 А, номинальный ток напряжения - 20 кА</t>
  </si>
  <si>
    <t>П2-02</t>
  </si>
  <si>
    <t>ФАКТ</t>
  </si>
  <si>
    <t>По объектам  инвестиционной программы ООО ХК "СДС-Энерго" 2020 - 2024 годов</t>
  </si>
  <si>
    <t>Выкуп (строительство) ВЛ 110 кВ от ПС 220/110/35кВ "Соколовская" до ПС 110/35/6 кВ "Вольная"</t>
  </si>
  <si>
    <t>Сечение фазного провода - 185 мм2</t>
  </si>
  <si>
    <t>Л1-04-1</t>
  </si>
  <si>
    <t>ед.</t>
  </si>
  <si>
    <t>Напряжение - 110 кВ, протяженность -10 км.</t>
  </si>
  <si>
    <t xml:space="preserve">Строительство ПС 110/35/6 кВ"Вольная" </t>
  </si>
  <si>
    <t>110;35;6</t>
  </si>
  <si>
    <t>В4-01-1</t>
  </si>
  <si>
    <t>Напряжение 110 кВ номинальный ток - вне зависимости, номинальный ток отключение - 40кА</t>
  </si>
  <si>
    <t>Т1-04-1</t>
  </si>
  <si>
    <t>Трехобмоточный трансформатор напряжением 110/35/6 кВ Мощность 25 МВА</t>
  </si>
  <si>
    <t>Напряжение 35 кВ номинальный ток 630 А, номинальный ток отключение - 20 кА</t>
  </si>
  <si>
    <t>Напряжение 6 кВ номинальный ток 1000 А, номинальный ток отключение - 20кА</t>
  </si>
  <si>
    <t>Ц2-42-4</t>
  </si>
  <si>
    <t>расценка</t>
  </si>
  <si>
    <t>коэф-т</t>
  </si>
  <si>
    <t>Реконструкция ЗРУ-35 кВ ПС 35/10 кВ "Танай". Замена ячеек КРУ-35 (ПИР - 2020 г., СМР, ПНР, ввод - 2021 г.)</t>
  </si>
  <si>
    <t>Реконструкция соружения ЛЭП 6 кВ  6-52-П проектными работами с заменой деревянных опор и провода на марку СИП и установкой реклоузеров (с технологией Smart Grid) на отходящих линиях (1 шт.) (ПИР, СМР, ПНР, ввод - 2023 г.)</t>
  </si>
  <si>
    <t>И1 1-07-2</t>
  </si>
  <si>
    <t>И1 1-04--2</t>
  </si>
  <si>
    <t>И1 2-03</t>
  </si>
  <si>
    <t>И1 1-16-2</t>
  </si>
  <si>
    <t>Ц1-42-12</t>
  </si>
  <si>
    <t>Н3-01-2</t>
  </si>
  <si>
    <t>Сечение жилы 1,5мм2, количество жил 5шт</t>
  </si>
  <si>
    <t>Н3-02-1</t>
  </si>
  <si>
    <t>Сечение жилы 2,5мм2, количество жил 4шт</t>
  </si>
  <si>
    <t>Строительство отпайки от ЛЭП-6кВ 6-52-П для ПС №25</t>
  </si>
  <si>
    <t xml:space="preserve">Затраты по УНЦ от 1 до 5,9 </t>
  </si>
  <si>
    <t>Строительство отпайки от 2-х цепной ЛЭП-10кВф.2.4 для ПС №22</t>
  </si>
  <si>
    <t>Реконструкция временной ВЛ 10 кВ и ТП 336 (инв. № 00003560) с проектными работами с заменой деревянных опор  на ж/б, провода на марку СИП и установкой реклоузера (с технологией Smart Grid- 1 шт.), разъединителей (7 шт.) на отходящих линиях (ПИР, СМР, ПНР, ввод - 2021 г.)</t>
  </si>
  <si>
    <t>Напряжение 10 кВ, протяженность 5,23 км</t>
  </si>
  <si>
    <t>Количество фазных проводов - 1 шт, сечение фазного провода - 120 мм2, тип провода - СИП-3</t>
  </si>
  <si>
    <t>Напряжение 6 кВ, номинальный ток 1000 А, номинальный ток отключения 20кА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</si>
  <si>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</si>
  <si>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А7-05</t>
  </si>
  <si>
    <t>Мультиплексор ПЦН</t>
  </si>
  <si>
    <t>ед</t>
  </si>
  <si>
    <t>Затраты по УНЦ от 1.1 до 5.9 млн.руб</t>
  </si>
  <si>
    <t>Максимально допустимая растягмивающая нагрузка, кН</t>
  </si>
  <si>
    <t>О2-02-2</t>
  </si>
  <si>
    <t>Замена отработавшего срок эксплуатации трансформатора Т-1 ТДН-15000 кВА 35/6 кВ на ТДН-10000 кВА 35/6 на ПС 35/6 кВ № 5 (СМР - 2024г.)</t>
  </si>
  <si>
    <t xml:space="preserve">Реконструкция ОРУ-35 кВ (замена выключателей 35 кВ, установка разъединителей и предохранителей 35 кВ) ПС №31 (2020 г.)
</t>
  </si>
  <si>
    <t>Реконструкция ТП-3 (2020 г.)</t>
  </si>
  <si>
    <t>Замена трансформатора ТДНГУ –63000/110 на ПС АЗОТ-1 (2020 г.)</t>
  </si>
  <si>
    <t>Выкуп (строительство) ВЛ 35 кВ от ПС 110/35/6 кВ "Вольная" до ПС 35/6 кВ "ОГР" (2020 г.)</t>
  </si>
  <si>
    <t xml:space="preserve">Строительство ВЛ 110 кВ Соколовская-Вольная-2 (1 этап: ПИР-2019г., СМР, ввод-2020г., 2 этап: ПИР, СМР, ввод -2021г.)
</t>
  </si>
  <si>
    <t>Дефлятор:
2019г. от 30.09.2020г.
2020 г.-2024г. от 30.09.2021г.</t>
  </si>
  <si>
    <t>Год раскрытия информации: 2022 год</t>
  </si>
  <si>
    <t>Дефлятор:
2019г. от 30.09.2020г.
2021 г. от 26.09.2020г.</t>
  </si>
  <si>
    <t>Замена отработавшего срок эксплуатации трансформатора Т-3 ТДНГУ-40000 кВА 110/6 кВ на ПС 110/6 кВ "Азот-2" - 1 шт. (СМР, ПНР, ввод - 2022 г.)</t>
  </si>
  <si>
    <t>Т4-11-2</t>
  </si>
  <si>
    <t>Мощность трансформатора 40 МВА, двухобмоточный, напряжение 110/6 кВ</t>
  </si>
  <si>
    <t>нн</t>
  </si>
  <si>
    <t>н</t>
  </si>
  <si>
    <t>скрыть</t>
  </si>
  <si>
    <t>проверить индексы по строительству+факт 2021 г.</t>
  </si>
  <si>
    <t>Строительство ЛЭП 6 кВ от ячейки №14 ПС 6 кВ №8 (СМР, ввод - 2022 г.)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</si>
  <si>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</si>
  <si>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Строительство ВЛ-6 кВ от ПС №5 (ПИР, СМР, ввод -2021 г.)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</si>
  <si>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</si>
  <si>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Реконструкция ЗРУ-35 кВ ПС 35/6 кВ "ОГР" с заменой ячеек КРУ-35. (ПИР - 2022 г.СМР, ПНР, ввод - 2023 г.)</t>
  </si>
  <si>
    <t>Строительство cооружение линейное электротехническое: ВЛЗ-6 кВ ф.2 ПС №10 (ПИР, СМР, ввод - 2022 г.)</t>
  </si>
  <si>
    <t>Строительство cооружение линейное электротехническое: ВЛЗ-6 кВ ф.4 ПС №10 (ПИР, СМР, ввод - 2022 г.)</t>
  </si>
  <si>
    <t>Строительство сооружение линейное электротехническое: Отпайка от ВЛЗ-10 кВ ф. 10-1-П (ПИР, СМР, ввод - 2022 г.)</t>
  </si>
  <si>
    <t>П3-02</t>
  </si>
  <si>
    <t>Напряжение 0,4-20 кВ, протяженность - 2 км</t>
  </si>
  <si>
    <t>Напряжение 0,4-20 кВ, протяженность - 5 км</t>
  </si>
  <si>
    <t>Количество фазных проводов - 1 шт, сечение фазного провода - 95 мм2, тип провода - СИП-3</t>
  </si>
  <si>
    <t>Л7-05-3</t>
  </si>
  <si>
    <t xml:space="preserve">Сечение жилы 120 мм2, напряжение 6кВ  </t>
  </si>
  <si>
    <t>К1-01-1</t>
  </si>
  <si>
    <t>Ц2-42-7</t>
  </si>
  <si>
    <t>Напряжение 10 кВ</t>
  </si>
  <si>
    <t xml:space="preserve">Напряжение - 10 кВ,тип опор - все типы опор за исключением многогранных </t>
  </si>
  <si>
    <t xml:space="preserve">Напряжение - 10 кВ, тип опор и количество цепей - одноцепная, все типы опор за исключением многогранных </t>
  </si>
  <si>
    <t>Напряжение - 10 кВ, номинальный ток - 1000 А, номинальный ток напряжения - 20 кА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</si>
  <si>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- 2023 г.)</t>
  </si>
  <si>
    <t>Напряжение 6-20кВ</t>
  </si>
  <si>
    <t>Р5-01</t>
  </si>
  <si>
    <t>Мвар</t>
  </si>
  <si>
    <t>БСК(установка конденсаторная)</t>
  </si>
  <si>
    <t>Сечение жилы, 2,5 мм2</t>
  </si>
  <si>
    <t>Н3-02-2</t>
  </si>
  <si>
    <t>Сечение жилы, 1,5 мм2</t>
  </si>
  <si>
    <t>К3-06-1</t>
  </si>
  <si>
    <t xml:space="preserve">Сечение жилы 95мм2, алюминевая жила, 4 жилы </t>
  </si>
  <si>
    <t>Сечение жилы 120мм2, наряжение 10кВ</t>
  </si>
  <si>
    <t>К1-06-2</t>
  </si>
  <si>
    <t>Сечение жилы 520мм2, наряжение 10кВ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</si>
</sst>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#,##0.000"/>
    <numFmt numFmtId="166" formatCode="0.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vertAlign val="subscript"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i/>
      <sz val="11"/>
      <name val="Symbol"/>
      <family val="1"/>
      <charset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20">
    <xf numFmtId="0" fontId="0" fillId="0" borderId="0" xfId="0"/>
    <xf numFmtId="164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0" fillId="3" borderId="0" xfId="0" applyFill="1" applyAlignment="1"/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/>
    <xf numFmtId="164" fontId="2" fillId="4" borderId="1" xfId="0" applyNumberFormat="1" applyFont="1" applyFill="1" applyBorder="1"/>
    <xf numFmtId="0" fontId="0" fillId="4" borderId="0" xfId="0" applyFill="1"/>
    <xf numFmtId="0" fontId="0" fillId="2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3" xfId="0" applyNumberFormat="1" applyFont="1" applyFill="1" applyBorder="1"/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3" xfId="0" applyNumberFormat="1" applyFont="1" applyFill="1" applyBorder="1"/>
    <xf numFmtId="164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0" fillId="0" borderId="0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9" fillId="0" borderId="0" xfId="0" applyNumberFormat="1" applyFont="1" applyFill="1" applyAlignment="1">
      <alignment horizontal="center" vertical="center" wrapText="1"/>
    </xf>
    <xf numFmtId="3" fontId="4" fillId="0" borderId="6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6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5" fillId="0" borderId="6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9" fillId="0" borderId="0" xfId="0" applyNumberFormat="1" applyFont="1" applyFill="1" applyAlignment="1">
      <alignment horizontal="right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7" xfId="0" applyFill="1" applyBorder="1"/>
    <xf numFmtId="3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8" fontId="0" fillId="0" borderId="0" xfId="0" applyNumberFormat="1" applyFill="1"/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center" vertical="center"/>
    </xf>
    <xf numFmtId="169" fontId="8" fillId="0" borderId="4" xfId="0" applyNumberFormat="1" applyFont="1" applyFill="1" applyBorder="1" applyAlignment="1">
      <alignment horizontal="center" vertical="center"/>
    </xf>
    <xf numFmtId="169" fontId="8" fillId="0" borderId="5" xfId="0" applyNumberFormat="1" applyFont="1" applyFill="1" applyBorder="1" applyAlignment="1">
      <alignment horizontal="center" vertical="center"/>
    </xf>
    <xf numFmtId="169" fontId="8" fillId="0" borderId="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center" vertical="center"/>
    </xf>
    <xf numFmtId="169" fontId="4" fillId="0" borderId="6" xfId="0" applyNumberFormat="1" applyFont="1" applyFill="1" applyBorder="1" applyAlignment="1">
      <alignment horizontal="center" vertical="center"/>
    </xf>
    <xf numFmtId="171" fontId="4" fillId="0" borderId="4" xfId="0" applyNumberFormat="1" applyFont="1" applyFill="1" applyBorder="1" applyAlignment="1">
      <alignment horizontal="center" vertical="center"/>
    </xf>
    <xf numFmtId="171" fontId="4" fillId="0" borderId="6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1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horizontal="center" vertical="center"/>
    </xf>
    <xf numFmtId="170" fontId="4" fillId="0" borderId="5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7" xfId="1" xr:uid="{00000000-0005-0000-0000-000001000000}"/>
    <cellStyle name="Обычный 7 2" xfId="2" xr:uid="{00000000-0005-0000-0000-000002000000}"/>
  </cellStyles>
  <dxfs count="0"/>
  <tableStyles count="0" defaultTableStyle="TableStyleMedium2" defaultPivotStyle="PivotStyleMedium9"/>
  <colors>
    <mruColors>
      <color rgb="FF89E2F7"/>
      <color rgb="FFFFFF99"/>
      <color rgb="FF93FBAE"/>
      <color rgb="FFFF00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view="pageBreakPreview" zoomScale="80" zoomScaleNormal="100" zoomScaleSheetLayoutView="80" workbookViewId="0">
      <selection activeCell="F10" sqref="F10"/>
    </sheetView>
  </sheetViews>
  <sheetFormatPr defaultRowHeight="15" x14ac:dyDescent="0.25"/>
  <cols>
    <col min="1" max="1" width="5.85546875" customWidth="1"/>
    <col min="2" max="2" width="40" customWidth="1"/>
    <col min="3" max="3" width="9.7109375" customWidth="1"/>
    <col min="4" max="4" width="9.28515625" customWidth="1"/>
    <col min="5" max="6" width="12.7109375" customWidth="1"/>
    <col min="7" max="7" width="12" customWidth="1"/>
    <col min="8" max="8" width="11.5703125" customWidth="1"/>
    <col min="9" max="10" width="12.7109375" customWidth="1"/>
    <col min="11" max="11" width="15.42578125" customWidth="1"/>
    <col min="12" max="12" width="16.42578125" customWidth="1"/>
  </cols>
  <sheetData>
    <row r="1" spans="1:12" ht="49.5" customHeight="1" x14ac:dyDescent="0.25">
      <c r="A1" s="111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22.5" customHeight="1" x14ac:dyDescent="0.25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2.5" customHeight="1" x14ac:dyDescent="0.25">
      <c r="A3" s="20"/>
      <c r="B3" s="20"/>
      <c r="C3" s="20"/>
      <c r="D3" s="20"/>
      <c r="E3" s="111" t="s">
        <v>19</v>
      </c>
      <c r="F3" s="112"/>
      <c r="G3" s="112"/>
      <c r="H3" s="112"/>
      <c r="I3" s="112"/>
      <c r="J3" s="20"/>
      <c r="K3" s="21"/>
      <c r="L3" s="20"/>
    </row>
    <row r="4" spans="1:12" ht="22.5" customHeight="1" x14ac:dyDescent="0.25">
      <c r="A4" s="15"/>
      <c r="B4" s="16"/>
      <c r="C4" s="16"/>
      <c r="D4" s="16"/>
      <c r="E4" s="16"/>
      <c r="F4" s="16"/>
      <c r="G4" s="16" t="s">
        <v>30</v>
      </c>
      <c r="H4" s="16"/>
      <c r="I4" s="16"/>
      <c r="J4" s="16"/>
      <c r="K4" s="16"/>
      <c r="L4" s="17" t="s">
        <v>10</v>
      </c>
    </row>
    <row r="5" spans="1:12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88.5" customHeight="1" x14ac:dyDescent="0.25">
      <c r="A6" s="18" t="s">
        <v>0</v>
      </c>
      <c r="B6" s="18" t="s">
        <v>1</v>
      </c>
      <c r="C6" s="18" t="s">
        <v>7</v>
      </c>
      <c r="D6" s="18" t="s">
        <v>14</v>
      </c>
      <c r="E6" s="18" t="s">
        <v>2</v>
      </c>
      <c r="F6" s="18" t="s">
        <v>15</v>
      </c>
      <c r="G6" s="18" t="s">
        <v>3</v>
      </c>
      <c r="H6" s="18" t="s">
        <v>4</v>
      </c>
      <c r="I6" s="18" t="s">
        <v>16</v>
      </c>
      <c r="J6" s="18" t="s">
        <v>17</v>
      </c>
      <c r="K6" s="18" t="s">
        <v>27</v>
      </c>
      <c r="L6" s="18" t="s">
        <v>26</v>
      </c>
    </row>
    <row r="7" spans="1:12" x14ac:dyDescent="0.25">
      <c r="A7" s="102">
        <v>1</v>
      </c>
      <c r="B7" s="104" t="s">
        <v>22</v>
      </c>
      <c r="C7" s="106">
        <v>5.12</v>
      </c>
      <c r="D7" s="108">
        <v>35</v>
      </c>
      <c r="E7" s="27" t="s">
        <v>20</v>
      </c>
      <c r="F7" s="22">
        <v>3</v>
      </c>
      <c r="G7" s="22">
        <f>F7/5*C7</f>
        <v>3.0720000000000001</v>
      </c>
      <c r="H7" s="100">
        <f t="shared" ref="H7" si="0">1.063*1.044*1.046</f>
        <v>1.1608215120000001</v>
      </c>
      <c r="I7" s="100">
        <f>SUM(G7:G8)*H7</f>
        <v>48.854798482636809</v>
      </c>
      <c r="J7" s="100">
        <f>SUM(G7:G8)*H7*1.18</f>
        <v>57.648662209511429</v>
      </c>
      <c r="K7" s="100">
        <f>I7*1.044</f>
        <v>51.004409615872831</v>
      </c>
      <c r="L7" s="100">
        <f>J7*1.044/1.18*1.2</f>
        <v>61.205291539047394</v>
      </c>
    </row>
    <row r="8" spans="1:12" ht="30" customHeight="1" x14ac:dyDescent="0.25">
      <c r="A8" s="114"/>
      <c r="B8" s="115"/>
      <c r="C8" s="116"/>
      <c r="D8" s="117"/>
      <c r="E8" s="27" t="s">
        <v>21</v>
      </c>
      <c r="F8" s="22">
        <v>7.62</v>
      </c>
      <c r="G8" s="22">
        <f>F8*C7</f>
        <v>39.014400000000002</v>
      </c>
      <c r="H8" s="101"/>
      <c r="I8" s="101"/>
      <c r="J8" s="101"/>
      <c r="K8" s="101"/>
      <c r="L8" s="101"/>
    </row>
    <row r="9" spans="1:12" x14ac:dyDescent="0.25">
      <c r="A9" s="102">
        <v>2</v>
      </c>
      <c r="B9" s="104" t="s">
        <v>23</v>
      </c>
      <c r="C9" s="106">
        <v>12.57</v>
      </c>
      <c r="D9" s="108">
        <v>110</v>
      </c>
      <c r="E9" s="28" t="s">
        <v>25</v>
      </c>
      <c r="F9" s="22">
        <v>21</v>
      </c>
      <c r="G9" s="22">
        <f>F9/30*C9</f>
        <v>8.7989999999999995</v>
      </c>
      <c r="H9" s="100">
        <f t="shared" ref="H9" si="1">1.063*1.044*1.046</f>
        <v>1.1608215120000001</v>
      </c>
      <c r="I9" s="100">
        <f>SUM(G9:G10)*H9</f>
        <v>146.29464374495186</v>
      </c>
      <c r="J9" s="100">
        <f>SUM(G9:G10)*H9*1.18</f>
        <v>172.62767961904319</v>
      </c>
      <c r="K9" s="100">
        <f>I9*1.044</f>
        <v>152.73160806972973</v>
      </c>
      <c r="L9" s="100">
        <f>J9*1.044/1.18*1.2</f>
        <v>183.27792968367567</v>
      </c>
    </row>
    <row r="10" spans="1:12" ht="24" customHeight="1" x14ac:dyDescent="0.25">
      <c r="A10" s="103"/>
      <c r="B10" s="105"/>
      <c r="C10" s="107"/>
      <c r="D10" s="109"/>
      <c r="E10" s="28" t="s">
        <v>24</v>
      </c>
      <c r="F10" s="22">
        <v>9.3260000000000005</v>
      </c>
      <c r="G10" s="22">
        <f>F10*C9</f>
        <v>117.22782000000001</v>
      </c>
      <c r="H10" s="110"/>
      <c r="I10" s="101"/>
      <c r="J10" s="101"/>
      <c r="K10" s="101"/>
      <c r="L10" s="101"/>
    </row>
    <row r="11" spans="1:12" ht="15.75" x14ac:dyDescent="0.25">
      <c r="A11" s="23"/>
      <c r="B11" s="23"/>
      <c r="C11" s="23"/>
      <c r="D11" s="23"/>
      <c r="E11" s="23"/>
      <c r="F11" s="23"/>
      <c r="G11" s="23"/>
      <c r="H11" s="24" t="s">
        <v>8</v>
      </c>
      <c r="I11" s="25">
        <f>I7+I9</f>
        <v>195.14944222758868</v>
      </c>
      <c r="J11" s="25">
        <f t="shared" ref="J11:L11" si="2">J7+J9</f>
        <v>230.27634182855462</v>
      </c>
      <c r="K11" s="25">
        <f t="shared" si="2"/>
        <v>203.73601768560258</v>
      </c>
      <c r="L11" s="25">
        <f t="shared" si="2"/>
        <v>244.48322122272305</v>
      </c>
    </row>
    <row r="12" spans="1:12" ht="36.75" hidden="1" customHeight="1" x14ac:dyDescent="0.25">
      <c r="A12" s="19" t="s">
        <v>28</v>
      </c>
      <c r="B12" s="19"/>
      <c r="C12" s="19"/>
      <c r="D12" s="19"/>
      <c r="E12" s="19"/>
      <c r="F12" s="19"/>
      <c r="G12" s="19"/>
      <c r="H12" s="19"/>
      <c r="I12" s="19"/>
      <c r="J12" s="19" t="s">
        <v>29</v>
      </c>
      <c r="K12" s="19"/>
    </row>
    <row r="14" spans="1:12" x14ac:dyDescent="0.25">
      <c r="J14" s="26"/>
      <c r="L14" s="26"/>
    </row>
    <row r="15" spans="1:12" x14ac:dyDescent="0.25">
      <c r="K15" s="26"/>
    </row>
  </sheetData>
  <mergeCells count="22">
    <mergeCell ref="A1:L1"/>
    <mergeCell ref="A2:L2"/>
    <mergeCell ref="E3:I3"/>
    <mergeCell ref="A5:L5"/>
    <mergeCell ref="A7:A8"/>
    <mergeCell ref="B7:B8"/>
    <mergeCell ref="C7:C8"/>
    <mergeCell ref="L7:L8"/>
    <mergeCell ref="D7:D8"/>
    <mergeCell ref="H7:H8"/>
    <mergeCell ref="I7:I8"/>
    <mergeCell ref="J7:J8"/>
    <mergeCell ref="K7:K8"/>
    <mergeCell ref="I9:I10"/>
    <mergeCell ref="J9:J10"/>
    <mergeCell ref="K9:K10"/>
    <mergeCell ref="L9:L10"/>
    <mergeCell ref="A9:A10"/>
    <mergeCell ref="B9:B10"/>
    <mergeCell ref="C9:C10"/>
    <mergeCell ref="D9:D10"/>
    <mergeCell ref="H9:H10"/>
  </mergeCells>
  <pageMargins left="0.31496062992125984" right="0.31496062992125984" top="0.35433070866141736" bottom="0.35433070866141736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F35" sqref="F35"/>
    </sheetView>
  </sheetViews>
  <sheetFormatPr defaultRowHeight="15" x14ac:dyDescent="0.25"/>
  <cols>
    <col min="3" max="3" width="30" customWidth="1"/>
    <col min="4" max="4" width="10.42578125" customWidth="1"/>
    <col min="5" max="5" width="11.28515625" customWidth="1"/>
    <col min="6" max="6" width="13.28515625" customWidth="1"/>
    <col min="7" max="7" width="27.42578125" customWidth="1"/>
    <col min="8" max="8" width="19.5703125" customWidth="1"/>
    <col min="9" max="9" width="22.5703125" customWidth="1"/>
    <col min="10" max="10" width="14.85546875" customWidth="1"/>
  </cols>
  <sheetData>
    <row r="1" spans="1:11" x14ac:dyDescent="0.25">
      <c r="A1" s="5"/>
      <c r="B1" s="118" t="s">
        <v>13</v>
      </c>
      <c r="C1" s="118"/>
      <c r="D1" s="118"/>
      <c r="E1" s="118"/>
      <c r="F1" s="118"/>
      <c r="G1" s="118"/>
      <c r="H1" s="118"/>
      <c r="I1" s="118"/>
      <c r="J1" s="118"/>
      <c r="K1" s="8"/>
    </row>
    <row r="2" spans="1:11" x14ac:dyDescent="0.25">
      <c r="A2" s="5"/>
      <c r="B2" s="119"/>
      <c r="C2" s="119"/>
      <c r="D2" s="119"/>
      <c r="E2" s="119"/>
      <c r="F2" s="119"/>
      <c r="G2" s="119"/>
      <c r="H2" s="119"/>
      <c r="I2" s="119"/>
      <c r="J2" s="119"/>
      <c r="K2" s="9"/>
    </row>
    <row r="3" spans="1:11" ht="15.75" thickBot="1" x14ac:dyDescent="0.3">
      <c r="A3" s="5"/>
      <c r="B3" s="7" t="s">
        <v>0</v>
      </c>
      <c r="C3" s="7" t="s">
        <v>1</v>
      </c>
      <c r="D3" s="7" t="s">
        <v>7</v>
      </c>
      <c r="E3" s="7" t="s">
        <v>2</v>
      </c>
      <c r="F3" s="7" t="s">
        <v>9</v>
      </c>
      <c r="G3" s="7" t="s">
        <v>3</v>
      </c>
      <c r="H3" s="7" t="s">
        <v>4</v>
      </c>
      <c r="I3" s="7" t="s">
        <v>5</v>
      </c>
      <c r="J3" s="7" t="s">
        <v>6</v>
      </c>
      <c r="K3" s="5"/>
    </row>
    <row r="4" spans="1:11" ht="15.75" thickBot="1" x14ac:dyDescent="0.3">
      <c r="A4" s="5"/>
      <c r="B4" s="10">
        <v>1</v>
      </c>
      <c r="C4" s="2"/>
      <c r="D4" s="1"/>
      <c r="E4" s="2"/>
      <c r="F4" s="1"/>
      <c r="G4" s="11">
        <f>D4*F4</f>
        <v>0</v>
      </c>
      <c r="H4" s="2">
        <v>1.0756756756756756</v>
      </c>
      <c r="I4" s="11">
        <f>G4*H4</f>
        <v>0</v>
      </c>
      <c r="J4" s="11">
        <f>I4*1.18</f>
        <v>0</v>
      </c>
      <c r="K4" s="5"/>
    </row>
    <row r="5" spans="1:11" ht="15.75" thickBot="1" x14ac:dyDescent="0.3">
      <c r="A5" s="5"/>
      <c r="B5" s="10">
        <f>B4+1</f>
        <v>2</v>
      </c>
      <c r="C5" s="2"/>
      <c r="D5" s="1"/>
      <c r="E5" s="2"/>
      <c r="F5" s="1"/>
      <c r="G5" s="11">
        <f t="shared" ref="G5:G11" si="0">D5*F5</f>
        <v>0</v>
      </c>
      <c r="H5" s="2">
        <v>1.0756756756756756</v>
      </c>
      <c r="I5" s="11">
        <f t="shared" ref="I5:I11" si="1">G5*H5</f>
        <v>0</v>
      </c>
      <c r="J5" s="11">
        <f t="shared" ref="J5:J11" si="2">I5*1.18</f>
        <v>0</v>
      </c>
      <c r="K5" s="5"/>
    </row>
    <row r="6" spans="1:11" ht="15.75" thickBot="1" x14ac:dyDescent="0.3">
      <c r="A6" s="5"/>
      <c r="B6" s="10">
        <f t="shared" ref="B6:B11" si="3">B5+1</f>
        <v>3</v>
      </c>
      <c r="C6" s="2"/>
      <c r="D6" s="1"/>
      <c r="E6" s="2"/>
      <c r="F6" s="1"/>
      <c r="G6" s="11">
        <f t="shared" si="0"/>
        <v>0</v>
      </c>
      <c r="H6" s="2">
        <v>1.0756756756756756</v>
      </c>
      <c r="I6" s="11">
        <f t="shared" si="1"/>
        <v>0</v>
      </c>
      <c r="J6" s="11">
        <f t="shared" si="2"/>
        <v>0</v>
      </c>
      <c r="K6" s="5"/>
    </row>
    <row r="7" spans="1:11" ht="15.75" thickBot="1" x14ac:dyDescent="0.3">
      <c r="A7" s="5"/>
      <c r="B7" s="10">
        <f t="shared" si="3"/>
        <v>4</v>
      </c>
      <c r="C7" s="2"/>
      <c r="D7" s="1"/>
      <c r="E7" s="2"/>
      <c r="F7" s="1"/>
      <c r="G7" s="11">
        <f t="shared" si="0"/>
        <v>0</v>
      </c>
      <c r="H7" s="2">
        <v>1.0756756756756756</v>
      </c>
      <c r="I7" s="11">
        <f t="shared" si="1"/>
        <v>0</v>
      </c>
      <c r="J7" s="11">
        <f t="shared" si="2"/>
        <v>0</v>
      </c>
      <c r="K7" s="5"/>
    </row>
    <row r="8" spans="1:11" ht="15.75" thickBot="1" x14ac:dyDescent="0.3">
      <c r="A8" s="5"/>
      <c r="B8" s="10">
        <f t="shared" si="3"/>
        <v>5</v>
      </c>
      <c r="C8" s="2"/>
      <c r="D8" s="1"/>
      <c r="E8" s="2"/>
      <c r="F8" s="1"/>
      <c r="G8" s="11">
        <f t="shared" si="0"/>
        <v>0</v>
      </c>
      <c r="H8" s="2">
        <v>1.0756756756756756</v>
      </c>
      <c r="I8" s="11">
        <f t="shared" si="1"/>
        <v>0</v>
      </c>
      <c r="J8" s="11">
        <f t="shared" si="2"/>
        <v>0</v>
      </c>
      <c r="K8" s="5"/>
    </row>
    <row r="9" spans="1:11" ht="15.75" thickBot="1" x14ac:dyDescent="0.3">
      <c r="A9" s="5"/>
      <c r="B9" s="10">
        <f t="shared" si="3"/>
        <v>6</v>
      </c>
      <c r="C9" s="2"/>
      <c r="D9" s="1"/>
      <c r="E9" s="2"/>
      <c r="F9" s="1"/>
      <c r="G9" s="11">
        <f t="shared" si="0"/>
        <v>0</v>
      </c>
      <c r="H9" s="2">
        <v>1.0756756756756756</v>
      </c>
      <c r="I9" s="11">
        <f t="shared" si="1"/>
        <v>0</v>
      </c>
      <c r="J9" s="11">
        <f t="shared" si="2"/>
        <v>0</v>
      </c>
      <c r="K9" s="5"/>
    </row>
    <row r="10" spans="1:11" ht="15.75" thickBot="1" x14ac:dyDescent="0.3">
      <c r="A10" s="5"/>
      <c r="B10" s="10">
        <f t="shared" si="3"/>
        <v>7</v>
      </c>
      <c r="C10" s="2"/>
      <c r="D10" s="1"/>
      <c r="E10" s="2"/>
      <c r="F10" s="1"/>
      <c r="G10" s="11">
        <f t="shared" si="0"/>
        <v>0</v>
      </c>
      <c r="H10" s="2">
        <v>1.0756756756756756</v>
      </c>
      <c r="I10" s="11">
        <f t="shared" si="1"/>
        <v>0</v>
      </c>
      <c r="J10" s="11">
        <f t="shared" si="2"/>
        <v>0</v>
      </c>
      <c r="K10" s="5"/>
    </row>
    <row r="11" spans="1:11" ht="15.75" thickBot="1" x14ac:dyDescent="0.3">
      <c r="A11" s="5"/>
      <c r="B11" s="10">
        <f t="shared" si="3"/>
        <v>8</v>
      </c>
      <c r="C11" s="2"/>
      <c r="D11" s="1"/>
      <c r="E11" s="2"/>
      <c r="F11" s="1"/>
      <c r="G11" s="11">
        <f t="shared" si="0"/>
        <v>0</v>
      </c>
      <c r="H11" s="2">
        <v>1.0756756756756756</v>
      </c>
      <c r="I11" s="11">
        <f t="shared" si="1"/>
        <v>0</v>
      </c>
      <c r="J11" s="11">
        <f t="shared" si="2"/>
        <v>0</v>
      </c>
      <c r="K11" s="5"/>
    </row>
    <row r="12" spans="1:11" ht="16.5" thickBot="1" x14ac:dyDescent="0.3">
      <c r="A12" s="5"/>
      <c r="B12" s="120"/>
      <c r="C12" s="120"/>
      <c r="D12" s="120"/>
      <c r="E12" s="120"/>
      <c r="F12" s="120"/>
      <c r="G12" s="120"/>
      <c r="H12" s="120"/>
      <c r="I12" s="6" t="s">
        <v>8</v>
      </c>
      <c r="J12" s="12">
        <f>J4+J5+J6+J7+J8+J9+J10+J11</f>
        <v>0</v>
      </c>
      <c r="K12" s="7" t="s">
        <v>10</v>
      </c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5" spans="1:11" x14ac:dyDescent="0.25">
      <c r="A15" s="14"/>
      <c r="B15" s="4" t="s">
        <v>11</v>
      </c>
    </row>
    <row r="17" spans="1:2" x14ac:dyDescent="0.25">
      <c r="A17" s="13"/>
      <c r="B17" s="3" t="s">
        <v>12</v>
      </c>
    </row>
  </sheetData>
  <mergeCells count="3">
    <mergeCell ref="B1:J1"/>
    <mergeCell ref="B2:J2"/>
    <mergeCell ref="B12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196"/>
  <sheetViews>
    <sheetView tabSelected="1" view="pageBreakPreview" zoomScale="60" zoomScaleNormal="100" workbookViewId="0">
      <pane xSplit="3" ySplit="8" topLeftCell="D68" activePane="bottomRight" state="frozen"/>
      <selection activeCell="A5" sqref="A5"/>
      <selection pane="topRight" activeCell="D5" sqref="D5"/>
      <selection pane="bottomLeft" activeCell="A9" sqref="A9"/>
      <selection pane="bottomRight" sqref="A1:XFD1048576"/>
    </sheetView>
  </sheetViews>
  <sheetFormatPr defaultRowHeight="15" x14ac:dyDescent="0.25"/>
  <cols>
    <col min="1" max="1" width="7" style="31" customWidth="1"/>
    <col min="2" max="2" width="34" style="63" customWidth="1"/>
    <col min="3" max="3" width="14" style="31" customWidth="1"/>
    <col min="4" max="4" width="11.42578125" style="31" customWidth="1"/>
    <col min="5" max="5" width="13" style="31" customWidth="1"/>
    <col min="6" max="6" width="11.7109375" style="31" customWidth="1"/>
    <col min="7" max="7" width="23.140625" style="31" customWidth="1"/>
    <col min="8" max="8" width="14.5703125" style="31" customWidth="1"/>
    <col min="9" max="9" width="13.7109375" style="31" customWidth="1"/>
    <col min="10" max="10" width="11.5703125" style="31" customWidth="1"/>
    <col min="11" max="11" width="10.85546875" style="31" customWidth="1"/>
    <col min="12" max="12" width="13.5703125" style="31" customWidth="1"/>
    <col min="13" max="13" width="28.140625" style="31" customWidth="1"/>
    <col min="14" max="14" width="12.5703125" style="31" customWidth="1"/>
    <col min="15" max="15" width="19.7109375" style="31" customWidth="1"/>
    <col min="16" max="16" width="28.7109375" style="31" customWidth="1"/>
    <col min="17" max="17" width="21.5703125" style="31" customWidth="1"/>
    <col min="18" max="23" width="6.85546875" style="31" customWidth="1"/>
    <col min="24" max="24" width="12.85546875" style="42" customWidth="1"/>
    <col min="25" max="25" width="13.140625" style="42" customWidth="1"/>
    <col min="26" max="29" width="14.140625" style="42" customWidth="1"/>
    <col min="30" max="30" width="19.28515625" style="42" customWidth="1"/>
    <col min="31" max="31" width="26.5703125" style="42" customWidth="1"/>
    <col min="32" max="32" width="17.28515625" style="42" customWidth="1"/>
    <col min="33" max="38" width="7" style="31" customWidth="1"/>
    <col min="39" max="39" width="11.140625" style="42" customWidth="1"/>
    <col min="40" max="40" width="12.28515625" style="42" customWidth="1"/>
    <col min="41" max="41" width="14.7109375" style="42" customWidth="1"/>
    <col min="42" max="44" width="14.5703125" style="42" customWidth="1"/>
    <col min="45" max="45" width="23.28515625" style="42" hidden="1" customWidth="1"/>
    <col min="46" max="46" width="19" style="42" hidden="1" customWidth="1"/>
    <col min="47" max="49" width="8.85546875" style="36" hidden="1" customWidth="1"/>
    <col min="50" max="50" width="11.85546875" style="42" hidden="1" customWidth="1"/>
    <col min="51" max="51" width="13.140625" style="42" hidden="1" customWidth="1"/>
    <col min="52" max="52" width="15.28515625" style="42" hidden="1" customWidth="1"/>
    <col min="53" max="53" width="18" style="67" hidden="1" customWidth="1"/>
    <col min="54" max="55" width="0" style="31" hidden="1" customWidth="1"/>
    <col min="56" max="16384" width="9.140625" style="31"/>
  </cols>
  <sheetData>
    <row r="1" spans="1:55" s="55" customFormat="1" ht="66.75" customHeight="1" x14ac:dyDescent="0.3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</row>
    <row r="2" spans="1:55" s="55" customFormat="1" ht="18.75" x14ac:dyDescent="0.3">
      <c r="A2" s="146" t="s">
        <v>211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</row>
    <row r="3" spans="1:55" s="55" customFormat="1" ht="18.75" x14ac:dyDescent="0.3">
      <c r="A3" s="146" t="s">
        <v>260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</row>
    <row r="4" spans="1:55" ht="28.5" customHeight="1" x14ac:dyDescent="0.25">
      <c r="A4" s="15"/>
      <c r="B4" s="62"/>
      <c r="C4" s="16"/>
      <c r="D4" s="16"/>
      <c r="E4" s="16"/>
      <c r="F4" s="16"/>
      <c r="G4" s="16"/>
      <c r="H4" s="16"/>
      <c r="I4" s="16"/>
      <c r="J4" s="16"/>
      <c r="K4" s="16"/>
      <c r="L4" s="33"/>
      <c r="M4" s="32"/>
      <c r="N4" s="32"/>
      <c r="O4" s="17"/>
      <c r="P4" s="17"/>
      <c r="Q4" s="17"/>
      <c r="R4" s="34"/>
      <c r="S4" s="34"/>
      <c r="T4" s="34"/>
      <c r="U4" s="34"/>
      <c r="V4" s="43"/>
      <c r="W4" s="34"/>
      <c r="X4" s="167"/>
      <c r="Y4" s="167"/>
      <c r="Z4" s="167"/>
      <c r="AA4" s="99"/>
      <c r="AB4" s="99"/>
      <c r="AC4" s="99"/>
      <c r="AD4" s="99"/>
      <c r="AE4" s="99"/>
      <c r="AF4" s="99"/>
      <c r="AG4" s="68"/>
      <c r="AH4" s="68"/>
      <c r="AI4" s="68"/>
      <c r="AJ4" s="68"/>
      <c r="AK4" s="68"/>
      <c r="AL4" s="68"/>
      <c r="AM4" s="99"/>
      <c r="AN4" s="99"/>
      <c r="AO4" s="99"/>
      <c r="AP4" s="99"/>
      <c r="AQ4" s="99"/>
      <c r="AR4" s="99"/>
      <c r="AS4" s="99" t="s">
        <v>267</v>
      </c>
      <c r="AT4" s="43"/>
      <c r="AU4" s="45" t="s">
        <v>268</v>
      </c>
      <c r="AV4" s="45"/>
      <c r="AW4" s="45"/>
      <c r="AX4" s="168"/>
      <c r="AY4" s="168"/>
      <c r="AZ4" s="168"/>
      <c r="BA4" s="64"/>
    </row>
    <row r="5" spans="1:55" ht="31.5" customHeight="1" x14ac:dyDescent="0.25">
      <c r="A5" s="159" t="s">
        <v>0</v>
      </c>
      <c r="B5" s="159" t="s">
        <v>32</v>
      </c>
      <c r="C5" s="159" t="s">
        <v>14</v>
      </c>
      <c r="D5" s="159" t="s">
        <v>2</v>
      </c>
      <c r="E5" s="159" t="s">
        <v>78</v>
      </c>
      <c r="F5" s="159" t="s">
        <v>77</v>
      </c>
      <c r="G5" s="159" t="s">
        <v>76</v>
      </c>
      <c r="H5" s="147" t="s">
        <v>79</v>
      </c>
      <c r="I5" s="147" t="s">
        <v>80</v>
      </c>
      <c r="J5" s="165" t="s">
        <v>35</v>
      </c>
      <c r="K5" s="165"/>
      <c r="L5" s="147" t="s">
        <v>181</v>
      </c>
      <c r="M5" s="143" t="s">
        <v>179</v>
      </c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 t="s">
        <v>180</v>
      </c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56" t="s">
        <v>210</v>
      </c>
      <c r="AT5" s="157"/>
      <c r="AU5" s="157"/>
      <c r="AV5" s="157"/>
      <c r="AW5" s="157"/>
      <c r="AX5" s="157"/>
      <c r="AY5" s="157"/>
      <c r="AZ5" s="158"/>
      <c r="BA5" s="151" t="s">
        <v>156</v>
      </c>
    </row>
    <row r="6" spans="1:55" ht="135" customHeight="1" x14ac:dyDescent="0.25">
      <c r="A6" s="160"/>
      <c r="B6" s="160"/>
      <c r="C6" s="160"/>
      <c r="D6" s="160"/>
      <c r="E6" s="160"/>
      <c r="F6" s="160"/>
      <c r="G6" s="160"/>
      <c r="H6" s="162"/>
      <c r="I6" s="162"/>
      <c r="J6" s="165"/>
      <c r="K6" s="165"/>
      <c r="L6" s="162"/>
      <c r="M6" s="147" t="s">
        <v>83</v>
      </c>
      <c r="N6" s="147" t="s">
        <v>82</v>
      </c>
      <c r="O6" s="147" t="s">
        <v>84</v>
      </c>
      <c r="P6" s="147" t="s">
        <v>16</v>
      </c>
      <c r="Q6" s="149" t="s">
        <v>85</v>
      </c>
      <c r="R6" s="172" t="s">
        <v>182</v>
      </c>
      <c r="S6" s="173"/>
      <c r="T6" s="173"/>
      <c r="U6" s="173"/>
      <c r="V6" s="173"/>
      <c r="W6" s="174"/>
      <c r="X6" s="166" t="s">
        <v>154</v>
      </c>
      <c r="Y6" s="166"/>
      <c r="Z6" s="166"/>
      <c r="AA6" s="166"/>
      <c r="AB6" s="166"/>
      <c r="AC6" s="166"/>
      <c r="AD6" s="151" t="s">
        <v>84</v>
      </c>
      <c r="AE6" s="151" t="s">
        <v>16</v>
      </c>
      <c r="AF6" s="153" t="s">
        <v>85</v>
      </c>
      <c r="AG6" s="165" t="s">
        <v>259</v>
      </c>
      <c r="AH6" s="165"/>
      <c r="AI6" s="165"/>
      <c r="AJ6" s="165"/>
      <c r="AK6" s="165"/>
      <c r="AL6" s="165"/>
      <c r="AM6" s="166" t="s">
        <v>154</v>
      </c>
      <c r="AN6" s="166"/>
      <c r="AO6" s="166"/>
      <c r="AP6" s="166"/>
      <c r="AQ6" s="166"/>
      <c r="AR6" s="166"/>
      <c r="AS6" s="151" t="s">
        <v>86</v>
      </c>
      <c r="AT6" s="151" t="s">
        <v>155</v>
      </c>
      <c r="AU6" s="169" t="s">
        <v>261</v>
      </c>
      <c r="AV6" s="170"/>
      <c r="AW6" s="171"/>
      <c r="AX6" s="166" t="s">
        <v>154</v>
      </c>
      <c r="AY6" s="166"/>
      <c r="AZ6" s="166"/>
      <c r="BA6" s="155"/>
      <c r="BC6" s="37"/>
    </row>
    <row r="7" spans="1:55" ht="24" customHeight="1" x14ac:dyDescent="0.25">
      <c r="A7" s="161"/>
      <c r="B7" s="161"/>
      <c r="C7" s="161"/>
      <c r="D7" s="161"/>
      <c r="E7" s="161"/>
      <c r="F7" s="161"/>
      <c r="G7" s="161"/>
      <c r="H7" s="148"/>
      <c r="I7" s="148"/>
      <c r="J7" s="56" t="s">
        <v>226</v>
      </c>
      <c r="K7" s="18" t="s">
        <v>227</v>
      </c>
      <c r="L7" s="148"/>
      <c r="M7" s="148"/>
      <c r="N7" s="148"/>
      <c r="O7" s="148"/>
      <c r="P7" s="148"/>
      <c r="Q7" s="150"/>
      <c r="R7" s="35">
        <v>2019</v>
      </c>
      <c r="S7" s="35">
        <v>2020</v>
      </c>
      <c r="T7" s="35">
        <v>2021</v>
      </c>
      <c r="U7" s="35">
        <v>2022</v>
      </c>
      <c r="V7" s="35">
        <v>2023</v>
      </c>
      <c r="W7" s="35">
        <v>2024</v>
      </c>
      <c r="X7" s="40">
        <v>2019</v>
      </c>
      <c r="Y7" s="40">
        <v>2020</v>
      </c>
      <c r="Z7" s="40">
        <v>2021</v>
      </c>
      <c r="AA7" s="40">
        <v>2022</v>
      </c>
      <c r="AB7" s="40">
        <v>2023</v>
      </c>
      <c r="AC7" s="40">
        <v>2024</v>
      </c>
      <c r="AD7" s="152"/>
      <c r="AE7" s="152"/>
      <c r="AF7" s="154"/>
      <c r="AG7" s="96">
        <v>2019</v>
      </c>
      <c r="AH7" s="96">
        <v>2020</v>
      </c>
      <c r="AI7" s="96">
        <v>2021</v>
      </c>
      <c r="AJ7" s="96">
        <v>2022</v>
      </c>
      <c r="AK7" s="96">
        <v>2023</v>
      </c>
      <c r="AL7" s="96">
        <v>2024</v>
      </c>
      <c r="AM7" s="40">
        <v>2019</v>
      </c>
      <c r="AN7" s="40">
        <v>2020</v>
      </c>
      <c r="AO7" s="40">
        <v>2021</v>
      </c>
      <c r="AP7" s="40">
        <v>2022</v>
      </c>
      <c r="AQ7" s="40">
        <v>2023</v>
      </c>
      <c r="AR7" s="40">
        <v>2024</v>
      </c>
      <c r="AS7" s="152"/>
      <c r="AT7" s="152"/>
      <c r="AU7" s="40">
        <v>2019</v>
      </c>
      <c r="AV7" s="40">
        <v>2020</v>
      </c>
      <c r="AW7" s="40">
        <v>2021</v>
      </c>
      <c r="AX7" s="40">
        <v>2019</v>
      </c>
      <c r="AY7" s="40">
        <v>2020</v>
      </c>
      <c r="AZ7" s="40">
        <v>2021</v>
      </c>
      <c r="BA7" s="152"/>
    </row>
    <row r="8" spans="1:55" s="39" customFormat="1" ht="24" customHeight="1" x14ac:dyDescent="0.25">
      <c r="A8" s="92">
        <v>1</v>
      </c>
      <c r="B8" s="92">
        <v>2</v>
      </c>
      <c r="C8" s="92">
        <v>3</v>
      </c>
      <c r="D8" s="92">
        <v>4</v>
      </c>
      <c r="E8" s="38">
        <v>5</v>
      </c>
      <c r="F8" s="92">
        <f>E8+1</f>
        <v>6</v>
      </c>
      <c r="G8" s="92">
        <f t="shared" ref="G8:BA8" si="0">F8+1</f>
        <v>7</v>
      </c>
      <c r="H8" s="92">
        <f t="shared" si="0"/>
        <v>8</v>
      </c>
      <c r="I8" s="92">
        <f t="shared" si="0"/>
        <v>9</v>
      </c>
      <c r="J8" s="92">
        <f t="shared" si="0"/>
        <v>10</v>
      </c>
      <c r="K8" s="92">
        <f t="shared" si="0"/>
        <v>11</v>
      </c>
      <c r="L8" s="92">
        <f t="shared" si="0"/>
        <v>12</v>
      </c>
      <c r="M8" s="92">
        <f t="shared" si="0"/>
        <v>13</v>
      </c>
      <c r="N8" s="92">
        <f t="shared" si="0"/>
        <v>14</v>
      </c>
      <c r="O8" s="92">
        <f t="shared" si="0"/>
        <v>15</v>
      </c>
      <c r="P8" s="92">
        <f t="shared" si="0"/>
        <v>16</v>
      </c>
      <c r="Q8" s="92">
        <f t="shared" si="0"/>
        <v>17</v>
      </c>
      <c r="R8" s="92">
        <f t="shared" si="0"/>
        <v>18</v>
      </c>
      <c r="S8" s="92">
        <f t="shared" si="0"/>
        <v>19</v>
      </c>
      <c r="T8" s="92">
        <f t="shared" si="0"/>
        <v>20</v>
      </c>
      <c r="U8" s="92">
        <f t="shared" si="0"/>
        <v>21</v>
      </c>
      <c r="V8" s="92">
        <f t="shared" si="0"/>
        <v>22</v>
      </c>
      <c r="W8" s="92">
        <f t="shared" si="0"/>
        <v>23</v>
      </c>
      <c r="X8" s="41">
        <f t="shared" si="0"/>
        <v>24</v>
      </c>
      <c r="Y8" s="41">
        <f t="shared" si="0"/>
        <v>25</v>
      </c>
      <c r="Z8" s="41">
        <f t="shared" si="0"/>
        <v>26</v>
      </c>
      <c r="AA8" s="41">
        <f t="shared" si="0"/>
        <v>27</v>
      </c>
      <c r="AB8" s="41">
        <f t="shared" si="0"/>
        <v>28</v>
      </c>
      <c r="AC8" s="41">
        <f t="shared" si="0"/>
        <v>29</v>
      </c>
      <c r="AD8" s="41">
        <f t="shared" si="0"/>
        <v>30</v>
      </c>
      <c r="AE8" s="41">
        <f t="shared" si="0"/>
        <v>31</v>
      </c>
      <c r="AF8" s="41">
        <f t="shared" si="0"/>
        <v>32</v>
      </c>
      <c r="AG8" s="92">
        <f t="shared" si="0"/>
        <v>33</v>
      </c>
      <c r="AH8" s="92">
        <f t="shared" si="0"/>
        <v>34</v>
      </c>
      <c r="AI8" s="92">
        <f t="shared" si="0"/>
        <v>35</v>
      </c>
      <c r="AJ8" s="92">
        <f t="shared" si="0"/>
        <v>36</v>
      </c>
      <c r="AK8" s="92">
        <f t="shared" si="0"/>
        <v>37</v>
      </c>
      <c r="AL8" s="92">
        <f t="shared" si="0"/>
        <v>38</v>
      </c>
      <c r="AM8" s="41">
        <f t="shared" si="0"/>
        <v>39</v>
      </c>
      <c r="AN8" s="41">
        <f t="shared" si="0"/>
        <v>40</v>
      </c>
      <c r="AO8" s="41">
        <f t="shared" si="0"/>
        <v>41</v>
      </c>
      <c r="AP8" s="41">
        <f t="shared" si="0"/>
        <v>42</v>
      </c>
      <c r="AQ8" s="41">
        <f t="shared" si="0"/>
        <v>43</v>
      </c>
      <c r="AR8" s="41">
        <f t="shared" si="0"/>
        <v>44</v>
      </c>
      <c r="AS8" s="41">
        <f t="shared" si="0"/>
        <v>45</v>
      </c>
      <c r="AT8" s="41">
        <f t="shared" si="0"/>
        <v>46</v>
      </c>
      <c r="AU8" s="41">
        <f t="shared" si="0"/>
        <v>47</v>
      </c>
      <c r="AV8" s="41">
        <f t="shared" si="0"/>
        <v>48</v>
      </c>
      <c r="AW8" s="41">
        <v>49</v>
      </c>
      <c r="AX8" s="41">
        <v>50</v>
      </c>
      <c r="AY8" s="41">
        <v>51</v>
      </c>
      <c r="AZ8" s="41">
        <v>52</v>
      </c>
      <c r="BA8" s="65">
        <f t="shared" si="0"/>
        <v>53</v>
      </c>
    </row>
    <row r="9" spans="1:55" ht="31.5" customHeight="1" x14ac:dyDescent="0.25">
      <c r="A9" s="131">
        <v>1</v>
      </c>
      <c r="B9" s="135" t="s">
        <v>81</v>
      </c>
      <c r="C9" s="122">
        <v>6</v>
      </c>
      <c r="D9" s="89" t="s">
        <v>38</v>
      </c>
      <c r="E9" s="89" t="s">
        <v>37</v>
      </c>
      <c r="F9" s="89">
        <v>2</v>
      </c>
      <c r="G9" s="92" t="s">
        <v>39</v>
      </c>
      <c r="H9" s="87">
        <v>1663</v>
      </c>
      <c r="I9" s="87">
        <f>F9*H9</f>
        <v>3326</v>
      </c>
      <c r="J9" s="87" t="s">
        <v>54</v>
      </c>
      <c r="K9" s="30">
        <v>1.1000000000000001</v>
      </c>
      <c r="L9" s="87">
        <f>I9*K9</f>
        <v>3658.6000000000004</v>
      </c>
      <c r="M9" s="128">
        <f>L14+L13+L12+L11+L10+L9</f>
        <v>8109.5650000000005</v>
      </c>
      <c r="N9" s="128">
        <f>M9*0.2</f>
        <v>1621.9130000000002</v>
      </c>
      <c r="O9" s="128">
        <f>M9*1.2</f>
        <v>9731.478000000001</v>
      </c>
      <c r="P9" s="128">
        <f>O9*R9*S9</f>
        <v>11099.607029064004</v>
      </c>
      <c r="Q9" s="128">
        <f>P9</f>
        <v>11099.607029064004</v>
      </c>
      <c r="R9" s="124">
        <v>1.0740000000000001</v>
      </c>
      <c r="S9" s="124">
        <v>1.0620000000000001</v>
      </c>
      <c r="T9" s="124">
        <v>1.0509999999999999</v>
      </c>
      <c r="U9" s="124">
        <v>1.048</v>
      </c>
      <c r="V9" s="124">
        <v>1.0469999999999999</v>
      </c>
      <c r="W9" s="124">
        <v>1.0469999999999999</v>
      </c>
      <c r="X9" s="124">
        <v>0</v>
      </c>
      <c r="Y9" s="128">
        <f>Q9</f>
        <v>11099.607029064004</v>
      </c>
      <c r="Z9" s="124">
        <v>0</v>
      </c>
      <c r="AA9" s="124">
        <v>0</v>
      </c>
      <c r="AB9" s="124">
        <v>0</v>
      </c>
      <c r="AC9" s="124">
        <v>0</v>
      </c>
      <c r="AD9" s="128">
        <f>O9</f>
        <v>9731.478000000001</v>
      </c>
      <c r="AE9" s="128">
        <f>AD9*AG9*AH9</f>
        <v>10975.238740224002</v>
      </c>
      <c r="AF9" s="128">
        <f>AM9+AN9+AO9+AP9+AQ9+AR9</f>
        <v>10975.238740224002</v>
      </c>
      <c r="AG9" s="124">
        <v>1.0680000000000001</v>
      </c>
      <c r="AH9" s="124">
        <v>1.056</v>
      </c>
      <c r="AI9" s="124">
        <v>1.054</v>
      </c>
      <c r="AJ9" s="124">
        <v>1.0509999999999999</v>
      </c>
      <c r="AK9" s="124">
        <v>1.0489999999999999</v>
      </c>
      <c r="AL9" s="124">
        <v>1.0469999999999999</v>
      </c>
      <c r="AM9" s="128">
        <v>0</v>
      </c>
      <c r="AN9" s="128">
        <f>AD9*AG9*AH9</f>
        <v>10975.238740224002</v>
      </c>
      <c r="AO9" s="128">
        <v>0</v>
      </c>
      <c r="AP9" s="128">
        <v>0</v>
      </c>
      <c r="AQ9" s="128">
        <v>0</v>
      </c>
      <c r="AR9" s="128">
        <v>0</v>
      </c>
      <c r="AS9" s="128">
        <f>AD9</f>
        <v>9731.478000000001</v>
      </c>
      <c r="AT9" s="128">
        <f>AY9+AX9</f>
        <v>10838.316844764002</v>
      </c>
      <c r="AU9" s="163">
        <v>1.0740000000000001</v>
      </c>
      <c r="AV9" s="163">
        <v>1.0369999999999999</v>
      </c>
      <c r="AW9" s="163">
        <v>1.0389999999999999</v>
      </c>
      <c r="AX9" s="124">
        <v>0</v>
      </c>
      <c r="AY9" s="128">
        <f>AD9*AU9*AV9</f>
        <v>10838.316844764002</v>
      </c>
      <c r="AZ9" s="128">
        <f>AS9-AD9</f>
        <v>0</v>
      </c>
      <c r="BA9" s="136">
        <f>AS9-O9</f>
        <v>0</v>
      </c>
      <c r="BB9" s="31">
        <f t="shared" ref="BB9:BB37" si="1">Q9/1.2</f>
        <v>9249.6725242200027</v>
      </c>
    </row>
    <row r="10" spans="1:55" ht="96.75" customHeight="1" x14ac:dyDescent="0.25">
      <c r="A10" s="131"/>
      <c r="B10" s="135"/>
      <c r="C10" s="122"/>
      <c r="D10" s="89" t="s">
        <v>42</v>
      </c>
      <c r="E10" s="89" t="s">
        <v>34</v>
      </c>
      <c r="F10" s="89">
        <v>2.5</v>
      </c>
      <c r="G10" s="29" t="s">
        <v>43</v>
      </c>
      <c r="H10" s="87">
        <v>699</v>
      </c>
      <c r="I10" s="87">
        <f>F10*H10</f>
        <v>1747.5</v>
      </c>
      <c r="J10" s="87" t="s">
        <v>55</v>
      </c>
      <c r="K10" s="30">
        <v>1.05</v>
      </c>
      <c r="L10" s="87">
        <f t="shared" ref="L10:L12" si="2">I10*K10</f>
        <v>1834.875</v>
      </c>
      <c r="M10" s="129"/>
      <c r="N10" s="129"/>
      <c r="O10" s="129"/>
      <c r="P10" s="129"/>
      <c r="Q10" s="129"/>
      <c r="R10" s="125"/>
      <c r="S10" s="125"/>
      <c r="T10" s="125"/>
      <c r="U10" s="125"/>
      <c r="V10" s="125"/>
      <c r="W10" s="125"/>
      <c r="X10" s="125"/>
      <c r="Y10" s="129"/>
      <c r="Z10" s="125"/>
      <c r="AA10" s="125"/>
      <c r="AB10" s="125"/>
      <c r="AC10" s="125"/>
      <c r="AD10" s="129"/>
      <c r="AE10" s="129"/>
      <c r="AF10" s="129"/>
      <c r="AG10" s="125"/>
      <c r="AH10" s="125"/>
      <c r="AI10" s="125"/>
      <c r="AJ10" s="125"/>
      <c r="AK10" s="125"/>
      <c r="AL10" s="125"/>
      <c r="AM10" s="129"/>
      <c r="AN10" s="129"/>
      <c r="AO10" s="129"/>
      <c r="AP10" s="129"/>
      <c r="AQ10" s="129"/>
      <c r="AR10" s="129"/>
      <c r="AS10" s="129"/>
      <c r="AT10" s="129"/>
      <c r="AU10" s="184"/>
      <c r="AV10" s="184"/>
      <c r="AW10" s="184"/>
      <c r="AX10" s="125"/>
      <c r="AY10" s="129"/>
      <c r="AZ10" s="129"/>
      <c r="BA10" s="137"/>
      <c r="BB10" s="31">
        <f t="shared" si="1"/>
        <v>0</v>
      </c>
    </row>
    <row r="11" spans="1:55" ht="69.75" customHeight="1" x14ac:dyDescent="0.25">
      <c r="A11" s="131"/>
      <c r="B11" s="135"/>
      <c r="C11" s="122"/>
      <c r="D11" s="89" t="s">
        <v>44</v>
      </c>
      <c r="E11" s="89" t="s">
        <v>45</v>
      </c>
      <c r="F11" s="89">
        <v>49.9</v>
      </c>
      <c r="G11" s="29" t="s">
        <v>46</v>
      </c>
      <c r="H11" s="87">
        <v>17</v>
      </c>
      <c r="I11" s="87">
        <f t="shared" ref="I11:I37" si="3">F11*H11</f>
        <v>848.3</v>
      </c>
      <c r="J11" s="87" t="s">
        <v>55</v>
      </c>
      <c r="K11" s="30">
        <v>1.05</v>
      </c>
      <c r="L11" s="87">
        <f t="shared" si="2"/>
        <v>890.71500000000003</v>
      </c>
      <c r="M11" s="129"/>
      <c r="N11" s="129"/>
      <c r="O11" s="129"/>
      <c r="P11" s="129"/>
      <c r="Q11" s="129"/>
      <c r="R11" s="125"/>
      <c r="S11" s="125"/>
      <c r="T11" s="125"/>
      <c r="U11" s="125"/>
      <c r="V11" s="125"/>
      <c r="W11" s="125"/>
      <c r="X11" s="125"/>
      <c r="Y11" s="129"/>
      <c r="Z11" s="125"/>
      <c r="AA11" s="125"/>
      <c r="AB11" s="125"/>
      <c r="AC11" s="125"/>
      <c r="AD11" s="129"/>
      <c r="AE11" s="129"/>
      <c r="AF11" s="129"/>
      <c r="AG11" s="125"/>
      <c r="AH11" s="125"/>
      <c r="AI11" s="125"/>
      <c r="AJ11" s="125"/>
      <c r="AK11" s="125"/>
      <c r="AL11" s="125"/>
      <c r="AM11" s="129"/>
      <c r="AN11" s="129"/>
      <c r="AO11" s="129"/>
      <c r="AP11" s="129"/>
      <c r="AQ11" s="129"/>
      <c r="AR11" s="129"/>
      <c r="AS11" s="129"/>
      <c r="AT11" s="129"/>
      <c r="AU11" s="184"/>
      <c r="AV11" s="184"/>
      <c r="AW11" s="184"/>
      <c r="AX11" s="125"/>
      <c r="AY11" s="129"/>
      <c r="AZ11" s="129"/>
      <c r="BA11" s="137"/>
      <c r="BB11" s="31">
        <f t="shared" si="1"/>
        <v>0</v>
      </c>
    </row>
    <row r="12" spans="1:55" ht="81.75" customHeight="1" x14ac:dyDescent="0.25">
      <c r="A12" s="131"/>
      <c r="B12" s="135"/>
      <c r="C12" s="122"/>
      <c r="D12" s="89" t="s">
        <v>47</v>
      </c>
      <c r="E12" s="89" t="s">
        <v>34</v>
      </c>
      <c r="F12" s="89">
        <v>2.5</v>
      </c>
      <c r="G12" s="29" t="s">
        <v>50</v>
      </c>
      <c r="H12" s="87">
        <v>449</v>
      </c>
      <c r="I12" s="87">
        <f t="shared" si="3"/>
        <v>1122.5</v>
      </c>
      <c r="J12" s="87" t="s">
        <v>55</v>
      </c>
      <c r="K12" s="30">
        <v>1.05</v>
      </c>
      <c r="L12" s="87">
        <f t="shared" si="2"/>
        <v>1178.625</v>
      </c>
      <c r="M12" s="129"/>
      <c r="N12" s="129"/>
      <c r="O12" s="129"/>
      <c r="P12" s="129"/>
      <c r="Q12" s="129"/>
      <c r="R12" s="125"/>
      <c r="S12" s="125"/>
      <c r="T12" s="125"/>
      <c r="U12" s="125"/>
      <c r="V12" s="125"/>
      <c r="W12" s="125"/>
      <c r="X12" s="125"/>
      <c r="Y12" s="129"/>
      <c r="Z12" s="125"/>
      <c r="AA12" s="125"/>
      <c r="AB12" s="125"/>
      <c r="AC12" s="125"/>
      <c r="AD12" s="129"/>
      <c r="AE12" s="129"/>
      <c r="AF12" s="129"/>
      <c r="AG12" s="125"/>
      <c r="AH12" s="125"/>
      <c r="AI12" s="125"/>
      <c r="AJ12" s="125"/>
      <c r="AK12" s="125"/>
      <c r="AL12" s="125"/>
      <c r="AM12" s="129"/>
      <c r="AN12" s="129"/>
      <c r="AO12" s="129"/>
      <c r="AP12" s="129"/>
      <c r="AQ12" s="129"/>
      <c r="AR12" s="129"/>
      <c r="AS12" s="129"/>
      <c r="AT12" s="129"/>
      <c r="AU12" s="184"/>
      <c r="AV12" s="184"/>
      <c r="AW12" s="184"/>
      <c r="AX12" s="125"/>
      <c r="AY12" s="129"/>
      <c r="AZ12" s="129"/>
      <c r="BA12" s="137"/>
      <c r="BB12" s="31">
        <f t="shared" si="1"/>
        <v>0</v>
      </c>
    </row>
    <row r="13" spans="1:55" ht="79.5" customHeight="1" x14ac:dyDescent="0.25">
      <c r="A13" s="131"/>
      <c r="B13" s="135"/>
      <c r="C13" s="122"/>
      <c r="D13" s="89" t="s">
        <v>48</v>
      </c>
      <c r="E13" s="89" t="s">
        <v>49</v>
      </c>
      <c r="F13" s="89">
        <v>0.25</v>
      </c>
      <c r="G13" s="29" t="s">
        <v>51</v>
      </c>
      <c r="H13" s="87">
        <v>187</v>
      </c>
      <c r="I13" s="87">
        <f t="shared" si="3"/>
        <v>46.75</v>
      </c>
      <c r="J13" s="87" t="s">
        <v>36</v>
      </c>
      <c r="K13" s="30" t="s">
        <v>36</v>
      </c>
      <c r="L13" s="87">
        <f>I13</f>
        <v>46.75</v>
      </c>
      <c r="M13" s="129"/>
      <c r="N13" s="129"/>
      <c r="O13" s="129"/>
      <c r="P13" s="129"/>
      <c r="Q13" s="129"/>
      <c r="R13" s="125"/>
      <c r="S13" s="125"/>
      <c r="T13" s="125"/>
      <c r="U13" s="125"/>
      <c r="V13" s="125"/>
      <c r="W13" s="125"/>
      <c r="X13" s="125"/>
      <c r="Y13" s="129"/>
      <c r="Z13" s="125"/>
      <c r="AA13" s="125"/>
      <c r="AB13" s="125"/>
      <c r="AC13" s="125"/>
      <c r="AD13" s="129"/>
      <c r="AE13" s="129"/>
      <c r="AF13" s="129"/>
      <c r="AG13" s="125"/>
      <c r="AH13" s="125"/>
      <c r="AI13" s="125"/>
      <c r="AJ13" s="125"/>
      <c r="AK13" s="125"/>
      <c r="AL13" s="125"/>
      <c r="AM13" s="129"/>
      <c r="AN13" s="129"/>
      <c r="AO13" s="129"/>
      <c r="AP13" s="129"/>
      <c r="AQ13" s="129"/>
      <c r="AR13" s="129"/>
      <c r="AS13" s="129"/>
      <c r="AT13" s="129"/>
      <c r="AU13" s="184"/>
      <c r="AV13" s="184"/>
      <c r="AW13" s="184"/>
      <c r="AX13" s="125"/>
      <c r="AY13" s="129"/>
      <c r="AZ13" s="129"/>
      <c r="BA13" s="137"/>
      <c r="BB13" s="31">
        <f t="shared" si="1"/>
        <v>0</v>
      </c>
    </row>
    <row r="14" spans="1:55" ht="44.25" customHeight="1" x14ac:dyDescent="0.25">
      <c r="A14" s="131"/>
      <c r="B14" s="135"/>
      <c r="C14" s="122"/>
      <c r="D14" s="89" t="s">
        <v>52</v>
      </c>
      <c r="E14" s="89" t="s">
        <v>41</v>
      </c>
      <c r="F14" s="89">
        <v>1</v>
      </c>
      <c r="G14" s="29" t="s">
        <v>53</v>
      </c>
      <c r="H14" s="87">
        <v>500</v>
      </c>
      <c r="I14" s="87">
        <f t="shared" si="3"/>
        <v>500</v>
      </c>
      <c r="J14" s="87" t="s">
        <v>36</v>
      </c>
      <c r="K14" s="87" t="s">
        <v>36</v>
      </c>
      <c r="L14" s="87">
        <f>I14</f>
        <v>500</v>
      </c>
      <c r="M14" s="130"/>
      <c r="N14" s="130"/>
      <c r="O14" s="130"/>
      <c r="P14" s="130"/>
      <c r="Q14" s="130"/>
      <c r="R14" s="126"/>
      <c r="S14" s="126"/>
      <c r="T14" s="126"/>
      <c r="U14" s="126"/>
      <c r="V14" s="126"/>
      <c r="W14" s="126"/>
      <c r="X14" s="126"/>
      <c r="Y14" s="130"/>
      <c r="Z14" s="126"/>
      <c r="AA14" s="126"/>
      <c r="AB14" s="126"/>
      <c r="AC14" s="126"/>
      <c r="AD14" s="130"/>
      <c r="AE14" s="130"/>
      <c r="AF14" s="130"/>
      <c r="AG14" s="126"/>
      <c r="AH14" s="126"/>
      <c r="AI14" s="126"/>
      <c r="AJ14" s="126"/>
      <c r="AK14" s="126"/>
      <c r="AL14" s="126"/>
      <c r="AM14" s="130"/>
      <c r="AN14" s="130"/>
      <c r="AO14" s="130"/>
      <c r="AP14" s="130"/>
      <c r="AQ14" s="130"/>
      <c r="AR14" s="130"/>
      <c r="AS14" s="130"/>
      <c r="AT14" s="130"/>
      <c r="AU14" s="164"/>
      <c r="AV14" s="164"/>
      <c r="AW14" s="164"/>
      <c r="AX14" s="126"/>
      <c r="AY14" s="130"/>
      <c r="AZ14" s="130"/>
      <c r="BA14" s="138"/>
      <c r="BB14" s="31">
        <f t="shared" si="1"/>
        <v>0</v>
      </c>
    </row>
    <row r="15" spans="1:55" ht="31.5" customHeight="1" x14ac:dyDescent="0.25">
      <c r="A15" s="131">
        <v>2</v>
      </c>
      <c r="B15" s="135" t="s">
        <v>56</v>
      </c>
      <c r="C15" s="122">
        <v>6</v>
      </c>
      <c r="D15" s="89" t="s">
        <v>38</v>
      </c>
      <c r="E15" s="89" t="s">
        <v>37</v>
      </c>
      <c r="F15" s="89">
        <v>2</v>
      </c>
      <c r="G15" s="92" t="s">
        <v>39</v>
      </c>
      <c r="H15" s="87">
        <v>1663</v>
      </c>
      <c r="I15" s="87">
        <f t="shared" si="3"/>
        <v>3326</v>
      </c>
      <c r="J15" s="87" t="s">
        <v>54</v>
      </c>
      <c r="K15" s="30">
        <v>1.1000000000000001</v>
      </c>
      <c r="L15" s="87">
        <f>I15*K15</f>
        <v>3658.6000000000004</v>
      </c>
      <c r="M15" s="128">
        <f t="shared" ref="M15" si="4">L20+L19+L18+L17+L16+L15</f>
        <v>6153.6262000000006</v>
      </c>
      <c r="N15" s="128">
        <f t="shared" ref="N15" si="5">M15*0.2</f>
        <v>1230.7252400000002</v>
      </c>
      <c r="O15" s="128">
        <f>M15*1.2</f>
        <v>7384.3514400000004</v>
      </c>
      <c r="P15" s="128">
        <f>O15*R15*S15</f>
        <v>8422.5026402467211</v>
      </c>
      <c r="Q15" s="128">
        <f t="shared" ref="Q15" si="6">P15</f>
        <v>8422.5026402467211</v>
      </c>
      <c r="R15" s="124">
        <v>1.0740000000000001</v>
      </c>
      <c r="S15" s="124">
        <v>1.0620000000000001</v>
      </c>
      <c r="T15" s="124">
        <v>1.0509999999999999</v>
      </c>
      <c r="U15" s="124">
        <v>1.048</v>
      </c>
      <c r="V15" s="124">
        <v>1.0469999999999999</v>
      </c>
      <c r="W15" s="124">
        <v>1.0469999999999999</v>
      </c>
      <c r="X15" s="128">
        <v>0</v>
      </c>
      <c r="Y15" s="128">
        <f>P15</f>
        <v>8422.5026402467211</v>
      </c>
      <c r="Z15" s="128">
        <v>0</v>
      </c>
      <c r="AA15" s="128">
        <v>0</v>
      </c>
      <c r="AB15" s="128">
        <v>0</v>
      </c>
      <c r="AC15" s="128">
        <v>0</v>
      </c>
      <c r="AD15" s="128">
        <f>O15</f>
        <v>7384.3514400000004</v>
      </c>
      <c r="AE15" s="128">
        <f>AD15*AG15*AH15</f>
        <v>8328.1306288435208</v>
      </c>
      <c r="AF15" s="128">
        <f>AM15+AN15+AO15+AP15+AQ15+AR15</f>
        <v>8328.1306288435208</v>
      </c>
      <c r="AG15" s="124">
        <v>1.0680000000000001</v>
      </c>
      <c r="AH15" s="124">
        <v>1.056</v>
      </c>
      <c r="AI15" s="124">
        <v>1.054</v>
      </c>
      <c r="AJ15" s="124">
        <v>1.0509999999999999</v>
      </c>
      <c r="AK15" s="124">
        <v>1.0489999999999999</v>
      </c>
      <c r="AL15" s="124">
        <v>1.0469999999999999</v>
      </c>
      <c r="AM15" s="128">
        <v>0</v>
      </c>
      <c r="AN15" s="128">
        <f>AD15*AG15*AH15</f>
        <v>8328.1306288435208</v>
      </c>
      <c r="AO15" s="128">
        <v>0</v>
      </c>
      <c r="AP15" s="128">
        <v>0</v>
      </c>
      <c r="AQ15" s="128">
        <v>0</v>
      </c>
      <c r="AR15" s="128">
        <v>0</v>
      </c>
      <c r="AS15" s="128">
        <f t="shared" ref="AS15" si="7">AD15</f>
        <v>7384.3514400000004</v>
      </c>
      <c r="AT15" s="128">
        <f>AY15+AX15</f>
        <v>8224.2328040827197</v>
      </c>
      <c r="AU15" s="163">
        <v>1.0740000000000001</v>
      </c>
      <c r="AV15" s="163">
        <v>1.0369999999999999</v>
      </c>
      <c r="AW15" s="163">
        <v>1.0389999999999999</v>
      </c>
      <c r="AX15" s="124">
        <v>0</v>
      </c>
      <c r="AY15" s="128">
        <f>AD15*AU15*AV15</f>
        <v>8224.2328040827197</v>
      </c>
      <c r="AZ15" s="128">
        <f>AS15-AD15</f>
        <v>0</v>
      </c>
      <c r="BA15" s="136">
        <f>AS15-O15</f>
        <v>0</v>
      </c>
      <c r="BB15" s="31">
        <f t="shared" si="1"/>
        <v>7018.7522002056012</v>
      </c>
    </row>
    <row r="16" spans="1:55" ht="90.75" customHeight="1" x14ac:dyDescent="0.25">
      <c r="A16" s="131"/>
      <c r="B16" s="135"/>
      <c r="C16" s="122"/>
      <c r="D16" s="89" t="s">
        <v>42</v>
      </c>
      <c r="E16" s="89" t="s">
        <v>34</v>
      </c>
      <c r="F16" s="89">
        <v>1.7969999999999999</v>
      </c>
      <c r="G16" s="29" t="s">
        <v>43</v>
      </c>
      <c r="H16" s="87">
        <v>699</v>
      </c>
      <c r="I16" s="87">
        <f t="shared" si="3"/>
        <v>1256.1029999999998</v>
      </c>
      <c r="J16" s="87" t="s">
        <v>55</v>
      </c>
      <c r="K16" s="30">
        <v>1.05</v>
      </c>
      <c r="L16" s="87">
        <f>I16*K16</f>
        <v>1318.90815</v>
      </c>
      <c r="M16" s="129"/>
      <c r="N16" s="129"/>
      <c r="O16" s="129"/>
      <c r="P16" s="129"/>
      <c r="Q16" s="129"/>
      <c r="R16" s="125"/>
      <c r="S16" s="125"/>
      <c r="T16" s="125"/>
      <c r="U16" s="125"/>
      <c r="V16" s="125"/>
      <c r="W16" s="125"/>
      <c r="X16" s="129"/>
      <c r="Y16" s="129"/>
      <c r="Z16" s="129"/>
      <c r="AA16" s="129"/>
      <c r="AB16" s="129">
        <v>0</v>
      </c>
      <c r="AC16" s="129"/>
      <c r="AD16" s="129"/>
      <c r="AE16" s="129"/>
      <c r="AF16" s="129"/>
      <c r="AG16" s="125"/>
      <c r="AH16" s="125"/>
      <c r="AI16" s="125"/>
      <c r="AJ16" s="125"/>
      <c r="AK16" s="125"/>
      <c r="AL16" s="125"/>
      <c r="AM16" s="129"/>
      <c r="AN16" s="129"/>
      <c r="AO16" s="129"/>
      <c r="AP16" s="129"/>
      <c r="AQ16" s="129"/>
      <c r="AR16" s="129"/>
      <c r="AS16" s="129"/>
      <c r="AT16" s="129"/>
      <c r="AU16" s="184"/>
      <c r="AV16" s="184"/>
      <c r="AW16" s="184"/>
      <c r="AX16" s="125"/>
      <c r="AY16" s="129"/>
      <c r="AZ16" s="129"/>
      <c r="BA16" s="137"/>
      <c r="BB16" s="31">
        <f t="shared" si="1"/>
        <v>0</v>
      </c>
    </row>
    <row r="17" spans="1:54" ht="69.75" customHeight="1" x14ac:dyDescent="0.25">
      <c r="A17" s="131"/>
      <c r="B17" s="135"/>
      <c r="C17" s="122"/>
      <c r="D17" s="89" t="s">
        <v>44</v>
      </c>
      <c r="E17" s="89" t="s">
        <v>45</v>
      </c>
      <c r="F17" s="89">
        <v>3.54</v>
      </c>
      <c r="G17" s="29" t="s">
        <v>46</v>
      </c>
      <c r="H17" s="87">
        <v>17</v>
      </c>
      <c r="I17" s="87">
        <f t="shared" si="3"/>
        <v>60.18</v>
      </c>
      <c r="J17" s="87" t="s">
        <v>55</v>
      </c>
      <c r="K17" s="30">
        <v>1.05</v>
      </c>
      <c r="L17" s="87">
        <f>I17*K17</f>
        <v>63.189</v>
      </c>
      <c r="M17" s="129"/>
      <c r="N17" s="129"/>
      <c r="O17" s="129"/>
      <c r="P17" s="129"/>
      <c r="Q17" s="129"/>
      <c r="R17" s="125"/>
      <c r="S17" s="125"/>
      <c r="T17" s="125"/>
      <c r="U17" s="125"/>
      <c r="V17" s="125"/>
      <c r="W17" s="125"/>
      <c r="X17" s="129"/>
      <c r="Y17" s="129"/>
      <c r="Z17" s="129"/>
      <c r="AA17" s="129"/>
      <c r="AB17" s="129"/>
      <c r="AC17" s="129"/>
      <c r="AD17" s="129"/>
      <c r="AE17" s="129"/>
      <c r="AF17" s="129"/>
      <c r="AG17" s="125"/>
      <c r="AH17" s="125"/>
      <c r="AI17" s="125"/>
      <c r="AJ17" s="125"/>
      <c r="AK17" s="125"/>
      <c r="AL17" s="125"/>
      <c r="AM17" s="129"/>
      <c r="AN17" s="129"/>
      <c r="AO17" s="129"/>
      <c r="AP17" s="129"/>
      <c r="AQ17" s="129"/>
      <c r="AR17" s="129"/>
      <c r="AS17" s="129"/>
      <c r="AT17" s="129"/>
      <c r="AU17" s="184"/>
      <c r="AV17" s="184"/>
      <c r="AW17" s="184"/>
      <c r="AX17" s="125"/>
      <c r="AY17" s="129"/>
      <c r="AZ17" s="129"/>
      <c r="BA17" s="137"/>
      <c r="BB17" s="31">
        <f t="shared" si="1"/>
        <v>0</v>
      </c>
    </row>
    <row r="18" spans="1:54" ht="81.75" customHeight="1" x14ac:dyDescent="0.25">
      <c r="A18" s="131"/>
      <c r="B18" s="135"/>
      <c r="C18" s="122"/>
      <c r="D18" s="89" t="s">
        <v>57</v>
      </c>
      <c r="E18" s="89" t="s">
        <v>34</v>
      </c>
      <c r="F18" s="89">
        <v>1.7969999999999999</v>
      </c>
      <c r="G18" s="29" t="s">
        <v>58</v>
      </c>
      <c r="H18" s="87">
        <v>413</v>
      </c>
      <c r="I18" s="87">
        <f t="shared" si="3"/>
        <v>742.16099999999994</v>
      </c>
      <c r="J18" s="87" t="s">
        <v>55</v>
      </c>
      <c r="K18" s="30">
        <v>1.05</v>
      </c>
      <c r="L18" s="87">
        <f>I18*K18</f>
        <v>779.26904999999999</v>
      </c>
      <c r="M18" s="129"/>
      <c r="N18" s="129"/>
      <c r="O18" s="129"/>
      <c r="P18" s="129"/>
      <c r="Q18" s="129"/>
      <c r="R18" s="125"/>
      <c r="S18" s="125"/>
      <c r="T18" s="125"/>
      <c r="U18" s="125"/>
      <c r="V18" s="125"/>
      <c r="W18" s="125"/>
      <c r="X18" s="129"/>
      <c r="Y18" s="129"/>
      <c r="Z18" s="129"/>
      <c r="AA18" s="129"/>
      <c r="AB18" s="129"/>
      <c r="AC18" s="129"/>
      <c r="AD18" s="129"/>
      <c r="AE18" s="129"/>
      <c r="AF18" s="129"/>
      <c r="AG18" s="125"/>
      <c r="AH18" s="125"/>
      <c r="AI18" s="125"/>
      <c r="AJ18" s="125"/>
      <c r="AK18" s="125"/>
      <c r="AL18" s="125"/>
      <c r="AM18" s="129"/>
      <c r="AN18" s="129"/>
      <c r="AO18" s="129"/>
      <c r="AP18" s="129"/>
      <c r="AQ18" s="129"/>
      <c r="AR18" s="129"/>
      <c r="AS18" s="129"/>
      <c r="AT18" s="129"/>
      <c r="AU18" s="184"/>
      <c r="AV18" s="184"/>
      <c r="AW18" s="184"/>
      <c r="AX18" s="125"/>
      <c r="AY18" s="129"/>
      <c r="AZ18" s="129"/>
      <c r="BA18" s="137"/>
      <c r="BB18" s="31">
        <f t="shared" si="1"/>
        <v>0</v>
      </c>
    </row>
    <row r="19" spans="1:54" ht="79.5" customHeight="1" x14ac:dyDescent="0.25">
      <c r="A19" s="131"/>
      <c r="B19" s="135"/>
      <c r="C19" s="122"/>
      <c r="D19" s="89" t="s">
        <v>48</v>
      </c>
      <c r="E19" s="89" t="s">
        <v>49</v>
      </c>
      <c r="F19" s="89">
        <v>0.18</v>
      </c>
      <c r="G19" s="29" t="s">
        <v>51</v>
      </c>
      <c r="H19" s="87">
        <v>187</v>
      </c>
      <c r="I19" s="87">
        <f t="shared" si="3"/>
        <v>33.659999999999997</v>
      </c>
      <c r="J19" s="87" t="s">
        <v>36</v>
      </c>
      <c r="K19" s="30" t="s">
        <v>36</v>
      </c>
      <c r="L19" s="87">
        <f>I19</f>
        <v>33.659999999999997</v>
      </c>
      <c r="M19" s="129"/>
      <c r="N19" s="129"/>
      <c r="O19" s="129"/>
      <c r="P19" s="129"/>
      <c r="Q19" s="129"/>
      <c r="R19" s="125"/>
      <c r="S19" s="125"/>
      <c r="T19" s="125"/>
      <c r="U19" s="125"/>
      <c r="V19" s="125"/>
      <c r="W19" s="125"/>
      <c r="X19" s="129"/>
      <c r="Y19" s="129"/>
      <c r="Z19" s="129"/>
      <c r="AA19" s="129"/>
      <c r="AB19" s="129"/>
      <c r="AC19" s="129"/>
      <c r="AD19" s="129"/>
      <c r="AE19" s="129"/>
      <c r="AF19" s="129"/>
      <c r="AG19" s="125"/>
      <c r="AH19" s="125"/>
      <c r="AI19" s="125"/>
      <c r="AJ19" s="125"/>
      <c r="AK19" s="125"/>
      <c r="AL19" s="125"/>
      <c r="AM19" s="129"/>
      <c r="AN19" s="129"/>
      <c r="AO19" s="129"/>
      <c r="AP19" s="129"/>
      <c r="AQ19" s="129"/>
      <c r="AR19" s="129"/>
      <c r="AS19" s="129"/>
      <c r="AT19" s="129"/>
      <c r="AU19" s="184"/>
      <c r="AV19" s="184"/>
      <c r="AW19" s="184"/>
      <c r="AX19" s="125"/>
      <c r="AY19" s="129"/>
      <c r="AZ19" s="129"/>
      <c r="BA19" s="137"/>
      <c r="BB19" s="31">
        <f t="shared" si="1"/>
        <v>0</v>
      </c>
    </row>
    <row r="20" spans="1:54" ht="44.25" customHeight="1" x14ac:dyDescent="0.25">
      <c r="A20" s="131"/>
      <c r="B20" s="135"/>
      <c r="C20" s="122"/>
      <c r="D20" s="89" t="s">
        <v>40</v>
      </c>
      <c r="E20" s="89" t="s">
        <v>41</v>
      </c>
      <c r="F20" s="89">
        <v>1</v>
      </c>
      <c r="G20" s="29" t="s">
        <v>53</v>
      </c>
      <c r="H20" s="87">
        <v>300</v>
      </c>
      <c r="I20" s="87">
        <f t="shared" si="3"/>
        <v>300</v>
      </c>
      <c r="J20" s="87" t="s">
        <v>36</v>
      </c>
      <c r="K20" s="87" t="s">
        <v>36</v>
      </c>
      <c r="L20" s="87">
        <f>I20</f>
        <v>300</v>
      </c>
      <c r="M20" s="130"/>
      <c r="N20" s="130"/>
      <c r="O20" s="130"/>
      <c r="P20" s="130"/>
      <c r="Q20" s="130"/>
      <c r="R20" s="126"/>
      <c r="S20" s="126"/>
      <c r="T20" s="126"/>
      <c r="U20" s="126"/>
      <c r="V20" s="126"/>
      <c r="W20" s="126"/>
      <c r="X20" s="130"/>
      <c r="Y20" s="130"/>
      <c r="Z20" s="130"/>
      <c r="AA20" s="130"/>
      <c r="AB20" s="130"/>
      <c r="AC20" s="130"/>
      <c r="AD20" s="130"/>
      <c r="AE20" s="130"/>
      <c r="AF20" s="130"/>
      <c r="AG20" s="126"/>
      <c r="AH20" s="126"/>
      <c r="AI20" s="126"/>
      <c r="AJ20" s="126"/>
      <c r="AK20" s="126"/>
      <c r="AL20" s="126"/>
      <c r="AM20" s="130"/>
      <c r="AN20" s="130"/>
      <c r="AO20" s="130"/>
      <c r="AP20" s="130"/>
      <c r="AQ20" s="130"/>
      <c r="AR20" s="130"/>
      <c r="AS20" s="130"/>
      <c r="AT20" s="130"/>
      <c r="AU20" s="164"/>
      <c r="AV20" s="164"/>
      <c r="AW20" s="164"/>
      <c r="AX20" s="126"/>
      <c r="AY20" s="130"/>
      <c r="AZ20" s="130"/>
      <c r="BA20" s="138"/>
      <c r="BB20" s="31">
        <f t="shared" si="1"/>
        <v>0</v>
      </c>
    </row>
    <row r="21" spans="1:54" ht="31.5" customHeight="1" x14ac:dyDescent="0.25">
      <c r="A21" s="131">
        <v>3</v>
      </c>
      <c r="B21" s="135" t="s">
        <v>95</v>
      </c>
      <c r="C21" s="122">
        <v>6</v>
      </c>
      <c r="D21" s="89" t="s">
        <v>38</v>
      </c>
      <c r="E21" s="89" t="s">
        <v>37</v>
      </c>
      <c r="F21" s="89">
        <v>3</v>
      </c>
      <c r="G21" s="92" t="s">
        <v>39</v>
      </c>
      <c r="H21" s="87">
        <v>1663</v>
      </c>
      <c r="I21" s="87">
        <f t="shared" si="3"/>
        <v>4989</v>
      </c>
      <c r="J21" s="87" t="s">
        <v>54</v>
      </c>
      <c r="K21" s="30">
        <v>1.1000000000000001</v>
      </c>
      <c r="L21" s="87">
        <f>I21*K21</f>
        <v>5487.9000000000005</v>
      </c>
      <c r="M21" s="128">
        <f>L26+L25+L24+L23+L22+L21</f>
        <v>8779.5790000000015</v>
      </c>
      <c r="N21" s="128">
        <f>M21*0.2</f>
        <v>1755.9158000000004</v>
      </c>
      <c r="O21" s="128">
        <f t="shared" ref="O21" si="8">M21*1.2</f>
        <v>10535.494800000002</v>
      </c>
      <c r="P21" s="128">
        <v>14520.432097000001</v>
      </c>
      <c r="Q21" s="128">
        <f t="shared" ref="Q21" si="9">P21</f>
        <v>14520.432097000001</v>
      </c>
      <c r="R21" s="124">
        <v>1.0740000000000001</v>
      </c>
      <c r="S21" s="124">
        <v>1.0620000000000001</v>
      </c>
      <c r="T21" s="124">
        <v>1.0509999999999999</v>
      </c>
      <c r="U21" s="124">
        <v>1.048</v>
      </c>
      <c r="V21" s="124">
        <v>1.0469999999999999</v>
      </c>
      <c r="W21" s="124">
        <v>1.0469999999999999</v>
      </c>
      <c r="X21" s="128">
        <v>0</v>
      </c>
      <c r="Y21" s="128">
        <f>P21</f>
        <v>14520.432097000001</v>
      </c>
      <c r="Z21" s="128">
        <v>0</v>
      </c>
      <c r="AA21" s="128">
        <v>0</v>
      </c>
      <c r="AB21" s="128">
        <v>0</v>
      </c>
      <c r="AC21" s="128">
        <v>0</v>
      </c>
      <c r="AD21" s="128">
        <f>O21</f>
        <v>10535.494800000002</v>
      </c>
      <c r="AE21" s="128">
        <f>AD21*AG21*AH21</f>
        <v>11882.015319398402</v>
      </c>
      <c r="AF21" s="128">
        <f>AM21+AN21+AO21+AP21+AQ21+AR21</f>
        <v>11882.015319398402</v>
      </c>
      <c r="AG21" s="124">
        <v>1.0680000000000001</v>
      </c>
      <c r="AH21" s="124">
        <v>1.056</v>
      </c>
      <c r="AI21" s="124">
        <v>1.054</v>
      </c>
      <c r="AJ21" s="124">
        <v>1.0509999999999999</v>
      </c>
      <c r="AK21" s="124">
        <v>1.0489999999999999</v>
      </c>
      <c r="AL21" s="124">
        <v>1.0469999999999999</v>
      </c>
      <c r="AM21" s="128">
        <v>0</v>
      </c>
      <c r="AN21" s="128">
        <f>AD21*AG21*AH21</f>
        <v>11882.015319398402</v>
      </c>
      <c r="AO21" s="128">
        <v>0</v>
      </c>
      <c r="AP21" s="128">
        <v>0</v>
      </c>
      <c r="AQ21" s="128">
        <v>0</v>
      </c>
      <c r="AR21" s="128">
        <v>0</v>
      </c>
      <c r="AS21" s="128">
        <v>10535.494800000002</v>
      </c>
      <c r="AT21" s="128">
        <v>14520.432097022402</v>
      </c>
      <c r="AU21" s="124">
        <v>1.0740000000000001</v>
      </c>
      <c r="AV21" s="124">
        <v>1.0369999999999999</v>
      </c>
      <c r="AW21" s="124">
        <v>1.0389999999999999</v>
      </c>
      <c r="AX21" s="128">
        <v>0</v>
      </c>
      <c r="AY21" s="128">
        <v>14520.432097022402</v>
      </c>
      <c r="AZ21" s="128">
        <v>0</v>
      </c>
      <c r="BA21" s="136">
        <f>AS21-O21</f>
        <v>0</v>
      </c>
      <c r="BB21" s="31">
        <f t="shared" si="1"/>
        <v>12100.360080833334</v>
      </c>
    </row>
    <row r="22" spans="1:54" ht="85.5" customHeight="1" x14ac:dyDescent="0.25">
      <c r="A22" s="131"/>
      <c r="B22" s="135"/>
      <c r="C22" s="122"/>
      <c r="D22" s="89" t="s">
        <v>42</v>
      </c>
      <c r="E22" s="89" t="s">
        <v>34</v>
      </c>
      <c r="F22" s="89">
        <v>2.2999999999999998</v>
      </c>
      <c r="G22" s="29" t="s">
        <v>43</v>
      </c>
      <c r="H22" s="87">
        <v>699</v>
      </c>
      <c r="I22" s="87">
        <f t="shared" si="3"/>
        <v>1607.6999999999998</v>
      </c>
      <c r="J22" s="87" t="s">
        <v>55</v>
      </c>
      <c r="K22" s="30">
        <v>1.05</v>
      </c>
      <c r="L22" s="87">
        <f>I22*K22</f>
        <v>1688.0849999999998</v>
      </c>
      <c r="M22" s="129"/>
      <c r="N22" s="129"/>
      <c r="O22" s="129"/>
      <c r="P22" s="129"/>
      <c r="Q22" s="129"/>
      <c r="R22" s="125"/>
      <c r="S22" s="125"/>
      <c r="T22" s="125"/>
      <c r="U22" s="125"/>
      <c r="V22" s="125"/>
      <c r="W22" s="125"/>
      <c r="X22" s="129"/>
      <c r="Y22" s="129"/>
      <c r="Z22" s="129"/>
      <c r="AA22" s="129"/>
      <c r="AB22" s="129"/>
      <c r="AC22" s="129"/>
      <c r="AD22" s="129"/>
      <c r="AE22" s="129"/>
      <c r="AF22" s="129"/>
      <c r="AG22" s="125"/>
      <c r="AH22" s="125"/>
      <c r="AI22" s="125"/>
      <c r="AJ22" s="125"/>
      <c r="AK22" s="125"/>
      <c r="AL22" s="125"/>
      <c r="AM22" s="129"/>
      <c r="AN22" s="129"/>
      <c r="AO22" s="129"/>
      <c r="AP22" s="129"/>
      <c r="AQ22" s="129"/>
      <c r="AR22" s="129"/>
      <c r="AS22" s="129"/>
      <c r="AT22" s="129"/>
      <c r="AU22" s="125"/>
      <c r="AV22" s="125"/>
      <c r="AW22" s="125"/>
      <c r="AX22" s="129"/>
      <c r="AY22" s="129"/>
      <c r="AZ22" s="129"/>
      <c r="BA22" s="137"/>
      <c r="BB22" s="31">
        <f t="shared" si="1"/>
        <v>0</v>
      </c>
    </row>
    <row r="23" spans="1:54" ht="61.5" customHeight="1" x14ac:dyDescent="0.25">
      <c r="A23" s="131"/>
      <c r="B23" s="135"/>
      <c r="C23" s="122"/>
      <c r="D23" s="89" t="s">
        <v>44</v>
      </c>
      <c r="E23" s="89" t="s">
        <v>45</v>
      </c>
      <c r="F23" s="89">
        <v>3.54</v>
      </c>
      <c r="G23" s="29" t="s">
        <v>46</v>
      </c>
      <c r="H23" s="87">
        <v>17</v>
      </c>
      <c r="I23" s="87">
        <f t="shared" si="3"/>
        <v>60.18</v>
      </c>
      <c r="J23" s="87" t="s">
        <v>55</v>
      </c>
      <c r="K23" s="30">
        <v>1.05</v>
      </c>
      <c r="L23" s="87">
        <f>I23*K23</f>
        <v>63.189</v>
      </c>
      <c r="M23" s="129"/>
      <c r="N23" s="129"/>
      <c r="O23" s="129"/>
      <c r="P23" s="129"/>
      <c r="Q23" s="129"/>
      <c r="R23" s="125"/>
      <c r="S23" s="125"/>
      <c r="T23" s="125"/>
      <c r="U23" s="125"/>
      <c r="V23" s="125"/>
      <c r="W23" s="125"/>
      <c r="X23" s="129"/>
      <c r="Y23" s="129"/>
      <c r="Z23" s="129"/>
      <c r="AA23" s="129"/>
      <c r="AB23" s="129"/>
      <c r="AC23" s="129"/>
      <c r="AD23" s="129"/>
      <c r="AE23" s="129"/>
      <c r="AF23" s="129"/>
      <c r="AG23" s="125"/>
      <c r="AH23" s="125"/>
      <c r="AI23" s="125"/>
      <c r="AJ23" s="125"/>
      <c r="AK23" s="125"/>
      <c r="AL23" s="125"/>
      <c r="AM23" s="129"/>
      <c r="AN23" s="129"/>
      <c r="AO23" s="129"/>
      <c r="AP23" s="129"/>
      <c r="AQ23" s="129"/>
      <c r="AR23" s="129"/>
      <c r="AS23" s="129"/>
      <c r="AT23" s="129"/>
      <c r="AU23" s="125"/>
      <c r="AV23" s="125"/>
      <c r="AW23" s="125"/>
      <c r="AX23" s="129"/>
      <c r="AY23" s="129"/>
      <c r="AZ23" s="129"/>
      <c r="BA23" s="137"/>
      <c r="BB23" s="31">
        <f t="shared" si="1"/>
        <v>0</v>
      </c>
    </row>
    <row r="24" spans="1:54" ht="78.75" customHeight="1" x14ac:dyDescent="0.25">
      <c r="A24" s="131"/>
      <c r="B24" s="135"/>
      <c r="C24" s="122"/>
      <c r="D24" s="89" t="s">
        <v>57</v>
      </c>
      <c r="E24" s="89" t="s">
        <v>34</v>
      </c>
      <c r="F24" s="89">
        <v>2.2999999999999998</v>
      </c>
      <c r="G24" s="29" t="s">
        <v>58</v>
      </c>
      <c r="H24" s="87">
        <v>413</v>
      </c>
      <c r="I24" s="87">
        <f t="shared" si="3"/>
        <v>949.9</v>
      </c>
      <c r="J24" s="87" t="s">
        <v>55</v>
      </c>
      <c r="K24" s="30">
        <v>1.05</v>
      </c>
      <c r="L24" s="87">
        <f>I24*K24</f>
        <v>997.39499999999998</v>
      </c>
      <c r="M24" s="129"/>
      <c r="N24" s="129"/>
      <c r="O24" s="129"/>
      <c r="P24" s="129"/>
      <c r="Q24" s="129"/>
      <c r="R24" s="125"/>
      <c r="S24" s="125"/>
      <c r="T24" s="125"/>
      <c r="U24" s="125"/>
      <c r="V24" s="125"/>
      <c r="W24" s="125"/>
      <c r="X24" s="129"/>
      <c r="Y24" s="129"/>
      <c r="Z24" s="129"/>
      <c r="AA24" s="129"/>
      <c r="AB24" s="129"/>
      <c r="AC24" s="129"/>
      <c r="AD24" s="129"/>
      <c r="AE24" s="129"/>
      <c r="AF24" s="129"/>
      <c r="AG24" s="125"/>
      <c r="AH24" s="125"/>
      <c r="AI24" s="125"/>
      <c r="AJ24" s="125"/>
      <c r="AK24" s="125"/>
      <c r="AL24" s="125"/>
      <c r="AM24" s="129"/>
      <c r="AN24" s="129"/>
      <c r="AO24" s="129"/>
      <c r="AP24" s="129"/>
      <c r="AQ24" s="129"/>
      <c r="AR24" s="129"/>
      <c r="AS24" s="129"/>
      <c r="AT24" s="129"/>
      <c r="AU24" s="125"/>
      <c r="AV24" s="125"/>
      <c r="AW24" s="125"/>
      <c r="AX24" s="129"/>
      <c r="AY24" s="129"/>
      <c r="AZ24" s="129"/>
      <c r="BA24" s="137"/>
      <c r="BB24" s="31">
        <f t="shared" si="1"/>
        <v>0</v>
      </c>
    </row>
    <row r="25" spans="1:54" ht="72.75" customHeight="1" x14ac:dyDescent="0.25">
      <c r="A25" s="131"/>
      <c r="B25" s="135"/>
      <c r="C25" s="122"/>
      <c r="D25" s="89" t="s">
        <v>48</v>
      </c>
      <c r="E25" s="89" t="s">
        <v>49</v>
      </c>
      <c r="F25" s="89">
        <v>0.23</v>
      </c>
      <c r="G25" s="29" t="s">
        <v>51</v>
      </c>
      <c r="H25" s="87">
        <v>187</v>
      </c>
      <c r="I25" s="87">
        <f t="shared" si="3"/>
        <v>43.010000000000005</v>
      </c>
      <c r="J25" s="87" t="s">
        <v>36</v>
      </c>
      <c r="K25" s="30" t="s">
        <v>36</v>
      </c>
      <c r="L25" s="87">
        <f>I25</f>
        <v>43.010000000000005</v>
      </c>
      <c r="M25" s="129"/>
      <c r="N25" s="129"/>
      <c r="O25" s="129"/>
      <c r="P25" s="129"/>
      <c r="Q25" s="129"/>
      <c r="R25" s="125"/>
      <c r="S25" s="125"/>
      <c r="T25" s="125"/>
      <c r="U25" s="125"/>
      <c r="V25" s="125"/>
      <c r="W25" s="125"/>
      <c r="X25" s="129"/>
      <c r="Y25" s="129"/>
      <c r="Z25" s="129"/>
      <c r="AA25" s="129"/>
      <c r="AB25" s="129"/>
      <c r="AC25" s="129"/>
      <c r="AD25" s="129"/>
      <c r="AE25" s="129"/>
      <c r="AF25" s="129"/>
      <c r="AG25" s="125"/>
      <c r="AH25" s="125"/>
      <c r="AI25" s="125"/>
      <c r="AJ25" s="125"/>
      <c r="AK25" s="125"/>
      <c r="AL25" s="125"/>
      <c r="AM25" s="129"/>
      <c r="AN25" s="129"/>
      <c r="AO25" s="129"/>
      <c r="AP25" s="129"/>
      <c r="AQ25" s="129"/>
      <c r="AR25" s="129"/>
      <c r="AS25" s="129"/>
      <c r="AT25" s="129"/>
      <c r="AU25" s="125"/>
      <c r="AV25" s="125"/>
      <c r="AW25" s="125"/>
      <c r="AX25" s="129"/>
      <c r="AY25" s="129"/>
      <c r="AZ25" s="129"/>
      <c r="BA25" s="137"/>
      <c r="BB25" s="31">
        <f t="shared" si="1"/>
        <v>0</v>
      </c>
    </row>
    <row r="26" spans="1:54" ht="36" customHeight="1" x14ac:dyDescent="0.25">
      <c r="A26" s="131"/>
      <c r="B26" s="135"/>
      <c r="C26" s="122"/>
      <c r="D26" s="89" t="s">
        <v>52</v>
      </c>
      <c r="E26" s="89" t="s">
        <v>41</v>
      </c>
      <c r="F26" s="89">
        <v>1</v>
      </c>
      <c r="G26" s="29" t="s">
        <v>53</v>
      </c>
      <c r="H26" s="87">
        <v>500</v>
      </c>
      <c r="I26" s="87">
        <f t="shared" si="3"/>
        <v>500</v>
      </c>
      <c r="J26" s="87" t="s">
        <v>36</v>
      </c>
      <c r="K26" s="87" t="s">
        <v>36</v>
      </c>
      <c r="L26" s="87">
        <f>I26</f>
        <v>500</v>
      </c>
      <c r="M26" s="130"/>
      <c r="N26" s="130"/>
      <c r="O26" s="130"/>
      <c r="P26" s="130"/>
      <c r="Q26" s="130"/>
      <c r="R26" s="126"/>
      <c r="S26" s="126"/>
      <c r="T26" s="126"/>
      <c r="U26" s="126"/>
      <c r="V26" s="126"/>
      <c r="W26" s="126"/>
      <c r="X26" s="130"/>
      <c r="Y26" s="130"/>
      <c r="Z26" s="130"/>
      <c r="AA26" s="130"/>
      <c r="AB26" s="130"/>
      <c r="AC26" s="130"/>
      <c r="AD26" s="130"/>
      <c r="AE26" s="130"/>
      <c r="AF26" s="130"/>
      <c r="AG26" s="126"/>
      <c r="AH26" s="126"/>
      <c r="AI26" s="126"/>
      <c r="AJ26" s="126"/>
      <c r="AK26" s="126"/>
      <c r="AL26" s="126"/>
      <c r="AM26" s="130"/>
      <c r="AN26" s="130"/>
      <c r="AO26" s="130"/>
      <c r="AP26" s="130"/>
      <c r="AQ26" s="130"/>
      <c r="AR26" s="130"/>
      <c r="AS26" s="130"/>
      <c r="AT26" s="130"/>
      <c r="AU26" s="126"/>
      <c r="AV26" s="126"/>
      <c r="AW26" s="126"/>
      <c r="AX26" s="130"/>
      <c r="AY26" s="130"/>
      <c r="AZ26" s="130"/>
      <c r="BA26" s="138"/>
      <c r="BB26" s="31">
        <f t="shared" si="1"/>
        <v>0</v>
      </c>
    </row>
    <row r="27" spans="1:54" ht="79.5" customHeight="1" x14ac:dyDescent="0.25">
      <c r="A27" s="131">
        <v>4</v>
      </c>
      <c r="B27" s="135" t="s">
        <v>60</v>
      </c>
      <c r="C27" s="122">
        <v>35</v>
      </c>
      <c r="D27" s="89" t="s">
        <v>61</v>
      </c>
      <c r="E27" s="89" t="s">
        <v>33</v>
      </c>
      <c r="F27" s="89">
        <v>3</v>
      </c>
      <c r="G27" s="92" t="s">
        <v>62</v>
      </c>
      <c r="H27" s="87">
        <v>1060</v>
      </c>
      <c r="I27" s="87">
        <f t="shared" si="3"/>
        <v>3180</v>
      </c>
      <c r="J27" s="87" t="s">
        <v>54</v>
      </c>
      <c r="K27" s="30">
        <v>1.1000000000000001</v>
      </c>
      <c r="L27" s="87">
        <f t="shared" ref="L27:L36" si="10">I27*K27</f>
        <v>3498.0000000000005</v>
      </c>
      <c r="M27" s="123">
        <f>SUM(L27:L37)</f>
        <v>21793.789919999999</v>
      </c>
      <c r="N27" s="128">
        <f>M27*0.2</f>
        <v>4358.7579839999999</v>
      </c>
      <c r="O27" s="123">
        <f>M27+N27</f>
        <v>26152.547903999999</v>
      </c>
      <c r="P27" s="128">
        <f>O27*R27*S27</f>
        <v>29829.282308727554</v>
      </c>
      <c r="Q27" s="128">
        <f>P27</f>
        <v>29829.282308727554</v>
      </c>
      <c r="R27" s="124">
        <v>1.0740000000000001</v>
      </c>
      <c r="S27" s="124">
        <v>1.0620000000000001</v>
      </c>
      <c r="T27" s="124">
        <v>1.0509999999999999</v>
      </c>
      <c r="U27" s="124">
        <v>1.048</v>
      </c>
      <c r="V27" s="124">
        <v>1.0469999999999999</v>
      </c>
      <c r="W27" s="124">
        <v>1.0469999999999999</v>
      </c>
      <c r="X27" s="128">
        <v>0</v>
      </c>
      <c r="Y27" s="128">
        <f>P27</f>
        <v>29829.282308727554</v>
      </c>
      <c r="Z27" s="128">
        <v>0</v>
      </c>
      <c r="AA27" s="128">
        <v>0</v>
      </c>
      <c r="AB27" s="128">
        <v>0</v>
      </c>
      <c r="AC27" s="128">
        <v>0</v>
      </c>
      <c r="AD27" s="128">
        <f>SUM(L27:L37)*1.2</f>
        <v>26152.547903999999</v>
      </c>
      <c r="AE27" s="128">
        <f>AD27*AG27*AH27</f>
        <v>29495.052746514433</v>
      </c>
      <c r="AF27" s="128">
        <f>AM27+AN27+AO27+AP27+AQ27+AR27</f>
        <v>29495.052746514433</v>
      </c>
      <c r="AG27" s="124">
        <v>1.0680000000000001</v>
      </c>
      <c r="AH27" s="124">
        <v>1.056</v>
      </c>
      <c r="AI27" s="124">
        <v>1.054</v>
      </c>
      <c r="AJ27" s="124">
        <v>1.0509999999999999</v>
      </c>
      <c r="AK27" s="124">
        <v>1.0489999999999999</v>
      </c>
      <c r="AL27" s="124">
        <v>1.0469999999999999</v>
      </c>
      <c r="AM27" s="128">
        <v>0</v>
      </c>
      <c r="AN27" s="128">
        <f>AD27*AG27*AH27</f>
        <v>29495.052746514433</v>
      </c>
      <c r="AO27" s="128">
        <v>0</v>
      </c>
      <c r="AP27" s="128">
        <v>0</v>
      </c>
      <c r="AQ27" s="128">
        <v>0</v>
      </c>
      <c r="AR27" s="128">
        <v>0</v>
      </c>
      <c r="AS27" s="128">
        <v>26152.547903999999</v>
      </c>
      <c r="AT27" s="128">
        <v>29829.282308727557</v>
      </c>
      <c r="AU27" s="124">
        <v>1.0740000000000001</v>
      </c>
      <c r="AV27" s="124">
        <v>1.0369999999999999</v>
      </c>
      <c r="AW27" s="124">
        <v>1.0389999999999999</v>
      </c>
      <c r="AX27" s="128">
        <v>0</v>
      </c>
      <c r="AY27" s="128">
        <v>29829.282308727557</v>
      </c>
      <c r="AZ27" s="128">
        <v>0</v>
      </c>
      <c r="BA27" s="136">
        <f>AS9-O9</f>
        <v>0</v>
      </c>
      <c r="BB27" s="31">
        <f t="shared" si="1"/>
        <v>24857.735257272961</v>
      </c>
    </row>
    <row r="28" spans="1:54" ht="75.75" customHeight="1" x14ac:dyDescent="0.25">
      <c r="A28" s="131"/>
      <c r="B28" s="135"/>
      <c r="C28" s="122"/>
      <c r="D28" s="89" t="s">
        <v>63</v>
      </c>
      <c r="E28" s="89" t="s">
        <v>37</v>
      </c>
      <c r="F28" s="89">
        <v>2</v>
      </c>
      <c r="G28" s="92" t="s">
        <v>64</v>
      </c>
      <c r="H28" s="87">
        <v>928</v>
      </c>
      <c r="I28" s="87">
        <f t="shared" si="3"/>
        <v>1856</v>
      </c>
      <c r="J28" s="87" t="s">
        <v>59</v>
      </c>
      <c r="K28" s="30">
        <v>1.03</v>
      </c>
      <c r="L28" s="87">
        <f t="shared" si="10"/>
        <v>1911.68</v>
      </c>
      <c r="M28" s="123"/>
      <c r="N28" s="129"/>
      <c r="O28" s="123"/>
      <c r="P28" s="129"/>
      <c r="Q28" s="129"/>
      <c r="R28" s="125"/>
      <c r="S28" s="125"/>
      <c r="T28" s="125"/>
      <c r="U28" s="125"/>
      <c r="V28" s="125"/>
      <c r="W28" s="125"/>
      <c r="X28" s="129"/>
      <c r="Y28" s="129"/>
      <c r="Z28" s="129"/>
      <c r="AA28" s="129"/>
      <c r="AB28" s="129"/>
      <c r="AC28" s="129"/>
      <c r="AD28" s="129"/>
      <c r="AE28" s="129"/>
      <c r="AF28" s="129"/>
      <c r="AG28" s="125"/>
      <c r="AH28" s="125"/>
      <c r="AI28" s="125"/>
      <c r="AJ28" s="125"/>
      <c r="AK28" s="125"/>
      <c r="AL28" s="125"/>
      <c r="AM28" s="129"/>
      <c r="AN28" s="129"/>
      <c r="AO28" s="129"/>
      <c r="AP28" s="129"/>
      <c r="AQ28" s="129"/>
      <c r="AR28" s="129"/>
      <c r="AS28" s="129"/>
      <c r="AT28" s="129"/>
      <c r="AU28" s="125"/>
      <c r="AV28" s="125"/>
      <c r="AW28" s="125"/>
      <c r="AX28" s="129"/>
      <c r="AY28" s="129"/>
      <c r="AZ28" s="129"/>
      <c r="BA28" s="137"/>
      <c r="BB28" s="31">
        <f t="shared" si="1"/>
        <v>0</v>
      </c>
    </row>
    <row r="29" spans="1:54" ht="53.25" customHeight="1" x14ac:dyDescent="0.25">
      <c r="A29" s="131"/>
      <c r="B29" s="135"/>
      <c r="C29" s="122"/>
      <c r="D29" s="89" t="s">
        <v>65</v>
      </c>
      <c r="E29" s="89" t="s">
        <v>33</v>
      </c>
      <c r="F29" s="89">
        <v>6</v>
      </c>
      <c r="G29" s="92" t="s">
        <v>66</v>
      </c>
      <c r="H29" s="87">
        <v>932</v>
      </c>
      <c r="I29" s="87">
        <f t="shared" si="3"/>
        <v>5592</v>
      </c>
      <c r="J29" s="87" t="s">
        <v>67</v>
      </c>
      <c r="K29" s="30">
        <v>1.04</v>
      </c>
      <c r="L29" s="87">
        <f t="shared" si="10"/>
        <v>5815.68</v>
      </c>
      <c r="M29" s="123"/>
      <c r="N29" s="129"/>
      <c r="O29" s="123"/>
      <c r="P29" s="129"/>
      <c r="Q29" s="129"/>
      <c r="R29" s="125"/>
      <c r="S29" s="125"/>
      <c r="T29" s="125"/>
      <c r="U29" s="125"/>
      <c r="V29" s="125"/>
      <c r="W29" s="125"/>
      <c r="X29" s="129"/>
      <c r="Y29" s="129"/>
      <c r="Z29" s="129"/>
      <c r="AA29" s="129"/>
      <c r="AB29" s="129"/>
      <c r="AC29" s="129"/>
      <c r="AD29" s="129"/>
      <c r="AE29" s="129"/>
      <c r="AF29" s="129"/>
      <c r="AG29" s="125"/>
      <c r="AH29" s="125"/>
      <c r="AI29" s="125"/>
      <c r="AJ29" s="125"/>
      <c r="AK29" s="125"/>
      <c r="AL29" s="125"/>
      <c r="AM29" s="129"/>
      <c r="AN29" s="129"/>
      <c r="AO29" s="129"/>
      <c r="AP29" s="129"/>
      <c r="AQ29" s="129"/>
      <c r="AR29" s="129"/>
      <c r="AS29" s="129"/>
      <c r="AT29" s="129"/>
      <c r="AU29" s="125"/>
      <c r="AV29" s="125"/>
      <c r="AW29" s="125"/>
      <c r="AX29" s="129"/>
      <c r="AY29" s="129"/>
      <c r="AZ29" s="129"/>
      <c r="BA29" s="137"/>
      <c r="BB29" s="31">
        <f t="shared" si="1"/>
        <v>0</v>
      </c>
    </row>
    <row r="30" spans="1:54" ht="53.25" customHeight="1" x14ac:dyDescent="0.25">
      <c r="A30" s="131"/>
      <c r="B30" s="135"/>
      <c r="C30" s="122"/>
      <c r="D30" s="89" t="s">
        <v>70</v>
      </c>
      <c r="E30" s="89" t="s">
        <v>33</v>
      </c>
      <c r="F30" s="89">
        <v>15</v>
      </c>
      <c r="G30" s="92" t="s">
        <v>71</v>
      </c>
      <c r="H30" s="87">
        <v>56</v>
      </c>
      <c r="I30" s="87">
        <f t="shared" si="3"/>
        <v>840</v>
      </c>
      <c r="J30" s="87" t="s">
        <v>67</v>
      </c>
      <c r="K30" s="30">
        <v>1.04</v>
      </c>
      <c r="L30" s="87">
        <f t="shared" si="10"/>
        <v>873.6</v>
      </c>
      <c r="M30" s="123"/>
      <c r="N30" s="129"/>
      <c r="O30" s="123"/>
      <c r="P30" s="129"/>
      <c r="Q30" s="129"/>
      <c r="R30" s="125"/>
      <c r="S30" s="125"/>
      <c r="T30" s="125"/>
      <c r="U30" s="125"/>
      <c r="V30" s="125"/>
      <c r="W30" s="125"/>
      <c r="X30" s="129"/>
      <c r="Y30" s="129"/>
      <c r="Z30" s="129"/>
      <c r="AA30" s="129"/>
      <c r="AB30" s="129"/>
      <c r="AC30" s="129"/>
      <c r="AD30" s="129"/>
      <c r="AE30" s="129"/>
      <c r="AF30" s="129"/>
      <c r="AG30" s="125"/>
      <c r="AH30" s="125"/>
      <c r="AI30" s="125"/>
      <c r="AJ30" s="125"/>
      <c r="AK30" s="125"/>
      <c r="AL30" s="125"/>
      <c r="AM30" s="129"/>
      <c r="AN30" s="129"/>
      <c r="AO30" s="129"/>
      <c r="AP30" s="129"/>
      <c r="AQ30" s="129"/>
      <c r="AR30" s="129"/>
      <c r="AS30" s="129"/>
      <c r="AT30" s="129"/>
      <c r="AU30" s="125"/>
      <c r="AV30" s="125"/>
      <c r="AW30" s="125"/>
      <c r="AX30" s="129"/>
      <c r="AY30" s="129"/>
      <c r="AZ30" s="129"/>
      <c r="BA30" s="137"/>
      <c r="BB30" s="31">
        <f t="shared" si="1"/>
        <v>0</v>
      </c>
    </row>
    <row r="31" spans="1:54" ht="53.25" customHeight="1" x14ac:dyDescent="0.25">
      <c r="A31" s="131"/>
      <c r="B31" s="135"/>
      <c r="C31" s="122"/>
      <c r="D31" s="89" t="s">
        <v>230</v>
      </c>
      <c r="E31" s="89" t="s">
        <v>33</v>
      </c>
      <c r="F31" s="89">
        <v>2</v>
      </c>
      <c r="G31" s="92" t="s">
        <v>74</v>
      </c>
      <c r="H31" s="87">
        <v>1397</v>
      </c>
      <c r="I31" s="87">
        <f t="shared" si="3"/>
        <v>2794</v>
      </c>
      <c r="J31" s="87" t="s">
        <v>100</v>
      </c>
      <c r="K31" s="30">
        <v>1.04</v>
      </c>
      <c r="L31" s="87">
        <f t="shared" si="10"/>
        <v>2905.76</v>
      </c>
      <c r="M31" s="123"/>
      <c r="N31" s="129"/>
      <c r="O31" s="123"/>
      <c r="P31" s="129"/>
      <c r="Q31" s="129"/>
      <c r="R31" s="125"/>
      <c r="S31" s="125"/>
      <c r="T31" s="125"/>
      <c r="U31" s="125"/>
      <c r="V31" s="125"/>
      <c r="W31" s="125"/>
      <c r="X31" s="129"/>
      <c r="Y31" s="129"/>
      <c r="Z31" s="129"/>
      <c r="AA31" s="129"/>
      <c r="AB31" s="129"/>
      <c r="AC31" s="129"/>
      <c r="AD31" s="129"/>
      <c r="AE31" s="129"/>
      <c r="AF31" s="129"/>
      <c r="AG31" s="125"/>
      <c r="AH31" s="125"/>
      <c r="AI31" s="125"/>
      <c r="AJ31" s="125"/>
      <c r="AK31" s="125"/>
      <c r="AL31" s="125"/>
      <c r="AM31" s="129"/>
      <c r="AN31" s="129"/>
      <c r="AO31" s="129"/>
      <c r="AP31" s="129"/>
      <c r="AQ31" s="129"/>
      <c r="AR31" s="129"/>
      <c r="AS31" s="129"/>
      <c r="AT31" s="129"/>
      <c r="AU31" s="125"/>
      <c r="AV31" s="125"/>
      <c r="AW31" s="125"/>
      <c r="AX31" s="129"/>
      <c r="AY31" s="129"/>
      <c r="AZ31" s="129"/>
      <c r="BA31" s="137"/>
    </row>
    <row r="32" spans="1:54" ht="53.25" customHeight="1" x14ac:dyDescent="0.25">
      <c r="A32" s="131"/>
      <c r="B32" s="135"/>
      <c r="C32" s="122"/>
      <c r="D32" s="89" t="s">
        <v>231</v>
      </c>
      <c r="E32" s="89" t="s">
        <v>33</v>
      </c>
      <c r="F32" s="89">
        <v>1</v>
      </c>
      <c r="G32" s="92" t="s">
        <v>74</v>
      </c>
      <c r="H32" s="87">
        <v>1158</v>
      </c>
      <c r="I32" s="87">
        <f t="shared" si="3"/>
        <v>1158</v>
      </c>
      <c r="J32" s="87" t="s">
        <v>100</v>
      </c>
      <c r="K32" s="30">
        <v>1.04</v>
      </c>
      <c r="L32" s="87">
        <f t="shared" si="10"/>
        <v>1204.32</v>
      </c>
      <c r="M32" s="123"/>
      <c r="N32" s="129"/>
      <c r="O32" s="123"/>
      <c r="P32" s="129"/>
      <c r="Q32" s="129"/>
      <c r="R32" s="125"/>
      <c r="S32" s="125"/>
      <c r="T32" s="125"/>
      <c r="U32" s="125"/>
      <c r="V32" s="125"/>
      <c r="W32" s="125"/>
      <c r="X32" s="129"/>
      <c r="Y32" s="129"/>
      <c r="Z32" s="129"/>
      <c r="AA32" s="129"/>
      <c r="AB32" s="129"/>
      <c r="AC32" s="129"/>
      <c r="AD32" s="129"/>
      <c r="AE32" s="129"/>
      <c r="AF32" s="129"/>
      <c r="AG32" s="125"/>
      <c r="AH32" s="125"/>
      <c r="AI32" s="125"/>
      <c r="AJ32" s="125"/>
      <c r="AK32" s="125"/>
      <c r="AL32" s="125"/>
      <c r="AM32" s="129"/>
      <c r="AN32" s="129"/>
      <c r="AO32" s="129"/>
      <c r="AP32" s="129"/>
      <c r="AQ32" s="129"/>
      <c r="AR32" s="129"/>
      <c r="AS32" s="129"/>
      <c r="AT32" s="129"/>
      <c r="AU32" s="125"/>
      <c r="AV32" s="125"/>
      <c r="AW32" s="125"/>
      <c r="AX32" s="129"/>
      <c r="AY32" s="129"/>
      <c r="AZ32" s="129"/>
      <c r="BA32" s="137"/>
    </row>
    <row r="33" spans="1:56" ht="53.25" customHeight="1" x14ac:dyDescent="0.25">
      <c r="A33" s="131"/>
      <c r="B33" s="135"/>
      <c r="C33" s="122"/>
      <c r="D33" s="89" t="s">
        <v>232</v>
      </c>
      <c r="E33" s="89" t="s">
        <v>33</v>
      </c>
      <c r="F33" s="89">
        <v>1</v>
      </c>
      <c r="G33" s="92" t="s">
        <v>74</v>
      </c>
      <c r="H33" s="87">
        <v>1223</v>
      </c>
      <c r="I33" s="87">
        <f t="shared" si="3"/>
        <v>1223</v>
      </c>
      <c r="J33" s="87" t="s">
        <v>100</v>
      </c>
      <c r="K33" s="30">
        <v>1.04</v>
      </c>
      <c r="L33" s="87">
        <f t="shared" si="10"/>
        <v>1271.92</v>
      </c>
      <c r="M33" s="123"/>
      <c r="N33" s="129"/>
      <c r="O33" s="123"/>
      <c r="P33" s="129"/>
      <c r="Q33" s="129"/>
      <c r="R33" s="125"/>
      <c r="S33" s="125"/>
      <c r="T33" s="125"/>
      <c r="U33" s="125"/>
      <c r="V33" s="125"/>
      <c r="W33" s="125"/>
      <c r="X33" s="129"/>
      <c r="Y33" s="129"/>
      <c r="Z33" s="129"/>
      <c r="AA33" s="129"/>
      <c r="AB33" s="129"/>
      <c r="AC33" s="129"/>
      <c r="AD33" s="129"/>
      <c r="AE33" s="129"/>
      <c r="AF33" s="129"/>
      <c r="AG33" s="125"/>
      <c r="AH33" s="125"/>
      <c r="AI33" s="125"/>
      <c r="AJ33" s="125"/>
      <c r="AK33" s="125"/>
      <c r="AL33" s="125"/>
      <c r="AM33" s="129"/>
      <c r="AN33" s="129"/>
      <c r="AO33" s="129"/>
      <c r="AP33" s="129"/>
      <c r="AQ33" s="129"/>
      <c r="AR33" s="129"/>
      <c r="AS33" s="129"/>
      <c r="AT33" s="129"/>
      <c r="AU33" s="125"/>
      <c r="AV33" s="125"/>
      <c r="AW33" s="125"/>
      <c r="AX33" s="129"/>
      <c r="AY33" s="129"/>
      <c r="AZ33" s="129"/>
      <c r="BA33" s="137"/>
    </row>
    <row r="34" spans="1:56" ht="53.25" customHeight="1" x14ac:dyDescent="0.25">
      <c r="A34" s="131"/>
      <c r="B34" s="135"/>
      <c r="C34" s="122"/>
      <c r="D34" s="89" t="s">
        <v>233</v>
      </c>
      <c r="E34" s="89" t="s">
        <v>33</v>
      </c>
      <c r="F34" s="89">
        <v>1</v>
      </c>
      <c r="G34" s="92" t="s">
        <v>74</v>
      </c>
      <c r="H34" s="87">
        <v>717</v>
      </c>
      <c r="I34" s="87">
        <f t="shared" si="3"/>
        <v>717</v>
      </c>
      <c r="J34" s="87" t="s">
        <v>234</v>
      </c>
      <c r="K34" s="30">
        <v>2.04</v>
      </c>
      <c r="L34" s="87">
        <f t="shared" si="10"/>
        <v>1462.68</v>
      </c>
      <c r="M34" s="123"/>
      <c r="N34" s="129"/>
      <c r="O34" s="123"/>
      <c r="P34" s="129"/>
      <c r="Q34" s="129"/>
      <c r="R34" s="125"/>
      <c r="S34" s="125"/>
      <c r="T34" s="125"/>
      <c r="U34" s="125"/>
      <c r="V34" s="125"/>
      <c r="W34" s="125"/>
      <c r="X34" s="129"/>
      <c r="Y34" s="129"/>
      <c r="Z34" s="129"/>
      <c r="AA34" s="129"/>
      <c r="AB34" s="129"/>
      <c r="AC34" s="129"/>
      <c r="AD34" s="129"/>
      <c r="AE34" s="129"/>
      <c r="AF34" s="129"/>
      <c r="AG34" s="125"/>
      <c r="AH34" s="125"/>
      <c r="AI34" s="125"/>
      <c r="AJ34" s="125"/>
      <c r="AK34" s="125"/>
      <c r="AL34" s="125"/>
      <c r="AM34" s="129"/>
      <c r="AN34" s="129"/>
      <c r="AO34" s="129"/>
      <c r="AP34" s="129"/>
      <c r="AQ34" s="129"/>
      <c r="AR34" s="129"/>
      <c r="AS34" s="129"/>
      <c r="AT34" s="129"/>
      <c r="AU34" s="125"/>
      <c r="AV34" s="125"/>
      <c r="AW34" s="125"/>
      <c r="AX34" s="129"/>
      <c r="AY34" s="129"/>
      <c r="AZ34" s="129"/>
      <c r="BA34" s="137"/>
    </row>
    <row r="35" spans="1:56" ht="53.25" customHeight="1" x14ac:dyDescent="0.25">
      <c r="A35" s="131"/>
      <c r="B35" s="135"/>
      <c r="C35" s="122"/>
      <c r="D35" s="89" t="s">
        <v>235</v>
      </c>
      <c r="E35" s="89" t="s">
        <v>34</v>
      </c>
      <c r="F35" s="89">
        <v>2.839</v>
      </c>
      <c r="G35" s="92" t="s">
        <v>236</v>
      </c>
      <c r="H35" s="87">
        <v>168</v>
      </c>
      <c r="I35" s="87">
        <f t="shared" si="3"/>
        <v>476.952</v>
      </c>
      <c r="J35" s="87" t="s">
        <v>152</v>
      </c>
      <c r="K35" s="30">
        <v>1.1200000000000001</v>
      </c>
      <c r="L35" s="87">
        <f t="shared" si="10"/>
        <v>534.18624</v>
      </c>
      <c r="M35" s="123"/>
      <c r="N35" s="129"/>
      <c r="O35" s="123"/>
      <c r="P35" s="129"/>
      <c r="Q35" s="129"/>
      <c r="R35" s="125"/>
      <c r="S35" s="125"/>
      <c r="T35" s="125"/>
      <c r="U35" s="125"/>
      <c r="V35" s="125"/>
      <c r="W35" s="125"/>
      <c r="X35" s="129"/>
      <c r="Y35" s="129"/>
      <c r="Z35" s="129"/>
      <c r="AA35" s="129"/>
      <c r="AB35" s="129"/>
      <c r="AC35" s="129"/>
      <c r="AD35" s="129"/>
      <c r="AE35" s="129"/>
      <c r="AF35" s="129"/>
      <c r="AG35" s="125"/>
      <c r="AH35" s="125"/>
      <c r="AI35" s="125"/>
      <c r="AJ35" s="125"/>
      <c r="AK35" s="125"/>
      <c r="AL35" s="125"/>
      <c r="AM35" s="129"/>
      <c r="AN35" s="129"/>
      <c r="AO35" s="129"/>
      <c r="AP35" s="129"/>
      <c r="AQ35" s="129"/>
      <c r="AR35" s="129"/>
      <c r="AS35" s="129"/>
      <c r="AT35" s="129"/>
      <c r="AU35" s="125"/>
      <c r="AV35" s="125"/>
      <c r="AW35" s="125"/>
      <c r="AX35" s="129"/>
      <c r="AY35" s="129"/>
      <c r="AZ35" s="129"/>
      <c r="BA35" s="137"/>
    </row>
    <row r="36" spans="1:56" ht="53.25" customHeight="1" x14ac:dyDescent="0.25">
      <c r="A36" s="131"/>
      <c r="B36" s="135"/>
      <c r="C36" s="122"/>
      <c r="D36" s="89" t="s">
        <v>237</v>
      </c>
      <c r="E36" s="89" t="s">
        <v>34</v>
      </c>
      <c r="F36" s="89">
        <v>3.661</v>
      </c>
      <c r="G36" s="92" t="s">
        <v>238</v>
      </c>
      <c r="H36" s="87">
        <v>199</v>
      </c>
      <c r="I36" s="87">
        <f t="shared" si="3"/>
        <v>728.53899999999999</v>
      </c>
      <c r="J36" s="87" t="s">
        <v>152</v>
      </c>
      <c r="K36" s="30">
        <v>1.1200000000000001</v>
      </c>
      <c r="L36" s="87">
        <f t="shared" si="10"/>
        <v>815.96368000000007</v>
      </c>
      <c r="M36" s="123"/>
      <c r="N36" s="129"/>
      <c r="O36" s="123"/>
      <c r="P36" s="129"/>
      <c r="Q36" s="129"/>
      <c r="R36" s="125"/>
      <c r="S36" s="125"/>
      <c r="T36" s="125"/>
      <c r="U36" s="125"/>
      <c r="V36" s="125"/>
      <c r="W36" s="125"/>
      <c r="X36" s="129"/>
      <c r="Y36" s="129"/>
      <c r="Z36" s="129"/>
      <c r="AA36" s="129"/>
      <c r="AB36" s="129"/>
      <c r="AC36" s="129"/>
      <c r="AD36" s="129"/>
      <c r="AE36" s="129"/>
      <c r="AF36" s="129"/>
      <c r="AG36" s="125"/>
      <c r="AH36" s="125"/>
      <c r="AI36" s="125"/>
      <c r="AJ36" s="125"/>
      <c r="AK36" s="125"/>
      <c r="AL36" s="125"/>
      <c r="AM36" s="129"/>
      <c r="AN36" s="129"/>
      <c r="AO36" s="129"/>
      <c r="AP36" s="129"/>
      <c r="AQ36" s="129"/>
      <c r="AR36" s="129"/>
      <c r="AS36" s="129"/>
      <c r="AT36" s="129"/>
      <c r="AU36" s="125"/>
      <c r="AV36" s="125"/>
      <c r="AW36" s="125"/>
      <c r="AX36" s="129"/>
      <c r="AY36" s="129"/>
      <c r="AZ36" s="129"/>
      <c r="BA36" s="137"/>
    </row>
    <row r="37" spans="1:56" ht="52.5" customHeight="1" x14ac:dyDescent="0.25">
      <c r="A37" s="131"/>
      <c r="B37" s="135"/>
      <c r="C37" s="122"/>
      <c r="D37" s="89" t="s">
        <v>68</v>
      </c>
      <c r="E37" s="89" t="s">
        <v>41</v>
      </c>
      <c r="F37" s="89">
        <v>1</v>
      </c>
      <c r="G37" s="29" t="s">
        <v>69</v>
      </c>
      <c r="H37" s="87">
        <v>1500</v>
      </c>
      <c r="I37" s="87">
        <f t="shared" si="3"/>
        <v>1500</v>
      </c>
      <c r="J37" s="87" t="s">
        <v>36</v>
      </c>
      <c r="K37" s="30" t="s">
        <v>36</v>
      </c>
      <c r="L37" s="87">
        <f>I37</f>
        <v>1500</v>
      </c>
      <c r="M37" s="123"/>
      <c r="N37" s="130"/>
      <c r="O37" s="123"/>
      <c r="P37" s="130"/>
      <c r="Q37" s="130"/>
      <c r="R37" s="126"/>
      <c r="S37" s="126"/>
      <c r="T37" s="126"/>
      <c r="U37" s="126"/>
      <c r="V37" s="126"/>
      <c r="W37" s="126"/>
      <c r="X37" s="130"/>
      <c r="Y37" s="130"/>
      <c r="Z37" s="130"/>
      <c r="AA37" s="130"/>
      <c r="AB37" s="130"/>
      <c r="AC37" s="130"/>
      <c r="AD37" s="130"/>
      <c r="AE37" s="130"/>
      <c r="AF37" s="130"/>
      <c r="AG37" s="126"/>
      <c r="AH37" s="126"/>
      <c r="AI37" s="126"/>
      <c r="AJ37" s="126"/>
      <c r="AK37" s="126"/>
      <c r="AL37" s="126"/>
      <c r="AM37" s="130"/>
      <c r="AN37" s="130"/>
      <c r="AO37" s="130"/>
      <c r="AP37" s="130"/>
      <c r="AQ37" s="130"/>
      <c r="AR37" s="130"/>
      <c r="AS37" s="130"/>
      <c r="AT37" s="130"/>
      <c r="AU37" s="126"/>
      <c r="AV37" s="126"/>
      <c r="AW37" s="126"/>
      <c r="AX37" s="130"/>
      <c r="AY37" s="130"/>
      <c r="AZ37" s="130"/>
      <c r="BA37" s="138"/>
      <c r="BB37" s="31">
        <f t="shared" si="1"/>
        <v>0</v>
      </c>
    </row>
    <row r="38" spans="1:56" ht="52.5" customHeight="1" x14ac:dyDescent="0.35">
      <c r="A38" s="102">
        <v>5</v>
      </c>
      <c r="B38" s="132" t="s">
        <v>254</v>
      </c>
      <c r="C38" s="132">
        <v>35</v>
      </c>
      <c r="D38" s="89" t="s">
        <v>73</v>
      </c>
      <c r="E38" s="89" t="s">
        <v>33</v>
      </c>
      <c r="F38" s="89">
        <v>2</v>
      </c>
      <c r="G38" s="92" t="s">
        <v>74</v>
      </c>
      <c r="H38" s="87">
        <v>1273</v>
      </c>
      <c r="I38" s="87">
        <f t="shared" ref="I38:I40" si="11">F38*H38</f>
        <v>2546</v>
      </c>
      <c r="J38" s="87" t="s">
        <v>54</v>
      </c>
      <c r="K38" s="30">
        <v>1.1000000000000001</v>
      </c>
      <c r="L38" s="87">
        <f t="shared" ref="L38:L39" si="12">I38*K38</f>
        <v>2800.6000000000004</v>
      </c>
      <c r="M38" s="128">
        <f>L38+L39+L41+L40</f>
        <v>19889.3</v>
      </c>
      <c r="N38" s="128">
        <f>M38*0.2</f>
        <v>3977.86</v>
      </c>
      <c r="O38" s="128">
        <f>M38*1.2</f>
        <v>23867.16</v>
      </c>
      <c r="P38" s="128">
        <f>L40*R38*1.2+(L38+L39+L41)*1.2*R38*S38</f>
        <v>27000.13909968</v>
      </c>
      <c r="Q38" s="128">
        <f>P38</f>
        <v>27000.13909968</v>
      </c>
      <c r="R38" s="124">
        <v>1.0740000000000001</v>
      </c>
      <c r="S38" s="124">
        <v>1.0620000000000001</v>
      </c>
      <c r="T38" s="124">
        <v>1.0509999999999999</v>
      </c>
      <c r="U38" s="124">
        <v>1.048</v>
      </c>
      <c r="V38" s="124">
        <v>1.0469999999999999</v>
      </c>
      <c r="W38" s="124">
        <v>1.0469999999999999</v>
      </c>
      <c r="X38" s="128">
        <f>L40*1.2*R38</f>
        <v>3588.0191999999997</v>
      </c>
      <c r="Y38" s="128">
        <f>(L38+L39+L41)*1.2*R38*S38</f>
        <v>23412.119899680001</v>
      </c>
      <c r="Z38" s="128">
        <v>0</v>
      </c>
      <c r="AA38" s="128">
        <v>0</v>
      </c>
      <c r="AB38" s="128">
        <v>0</v>
      </c>
      <c r="AC38" s="128">
        <v>0</v>
      </c>
      <c r="AD38" s="128">
        <f>M38*1.2</f>
        <v>23867.16</v>
      </c>
      <c r="AE38" s="128">
        <f>AM38+AN38</f>
        <v>26717.767418879997</v>
      </c>
      <c r="AF38" s="128">
        <f>AM38+AN38+AO38+AP38+AQ38+AR38</f>
        <v>26717.767418879997</v>
      </c>
      <c r="AG38" s="124">
        <v>1.0680000000000001</v>
      </c>
      <c r="AH38" s="124">
        <v>1.056</v>
      </c>
      <c r="AI38" s="124">
        <v>1.054</v>
      </c>
      <c r="AJ38" s="124">
        <v>1.0509999999999999</v>
      </c>
      <c r="AK38" s="124">
        <v>1.0489999999999999</v>
      </c>
      <c r="AL38" s="124">
        <v>1.0469999999999999</v>
      </c>
      <c r="AM38" s="128">
        <f>L40*AG38*1.2</f>
        <v>3567.9744000000005</v>
      </c>
      <c r="AN38" s="128">
        <f>(L38+L39+L41)*1.2*AG38*AH38</f>
        <v>23149.793018879998</v>
      </c>
      <c r="AO38" s="128">
        <v>0</v>
      </c>
      <c r="AP38" s="128">
        <v>0</v>
      </c>
      <c r="AQ38" s="128">
        <v>0</v>
      </c>
      <c r="AR38" s="128">
        <v>0</v>
      </c>
      <c r="AS38" s="128">
        <f>O38</f>
        <v>23867.16</v>
      </c>
      <c r="AT38" s="128">
        <f>AX38+AY38+AZ38</f>
        <v>30169.782244079997</v>
      </c>
      <c r="AU38" s="124">
        <v>1.0740000000000001</v>
      </c>
      <c r="AV38" s="124">
        <v>1.0369999999999999</v>
      </c>
      <c r="AW38" s="124">
        <v>1.0389999999999999</v>
      </c>
      <c r="AX38" s="128">
        <f>L40*1.2*AU38</f>
        <v>3588.0191999999997</v>
      </c>
      <c r="AY38" s="128">
        <f>(AS38*AU38*AV38)</f>
        <v>26581.763044079999</v>
      </c>
      <c r="AZ38" s="128">
        <v>0</v>
      </c>
      <c r="BA38" s="136">
        <f>AS38-O38</f>
        <v>0</v>
      </c>
      <c r="BC38" s="54"/>
      <c r="BD38" s="54"/>
    </row>
    <row r="39" spans="1:56" ht="79.5" customHeight="1" x14ac:dyDescent="0.35">
      <c r="A39" s="114"/>
      <c r="B39" s="133"/>
      <c r="C39" s="133"/>
      <c r="D39" s="89" t="s">
        <v>87</v>
      </c>
      <c r="E39" s="89" t="s">
        <v>37</v>
      </c>
      <c r="F39" s="89">
        <v>2</v>
      </c>
      <c r="G39" s="92" t="s">
        <v>75</v>
      </c>
      <c r="H39" s="87">
        <v>5518</v>
      </c>
      <c r="I39" s="87">
        <f t="shared" si="11"/>
        <v>11036</v>
      </c>
      <c r="J39" s="87" t="s">
        <v>54</v>
      </c>
      <c r="K39" s="30">
        <v>1.1000000000000001</v>
      </c>
      <c r="L39" s="87">
        <f t="shared" si="12"/>
        <v>12139.6</v>
      </c>
      <c r="M39" s="129"/>
      <c r="N39" s="129"/>
      <c r="O39" s="129"/>
      <c r="P39" s="129"/>
      <c r="Q39" s="129"/>
      <c r="R39" s="125"/>
      <c r="S39" s="125"/>
      <c r="T39" s="125"/>
      <c r="U39" s="125"/>
      <c r="V39" s="125"/>
      <c r="W39" s="125"/>
      <c r="X39" s="129"/>
      <c r="Y39" s="129"/>
      <c r="Z39" s="129"/>
      <c r="AA39" s="129"/>
      <c r="AB39" s="129"/>
      <c r="AC39" s="129"/>
      <c r="AD39" s="129"/>
      <c r="AE39" s="129"/>
      <c r="AF39" s="129"/>
      <c r="AG39" s="125"/>
      <c r="AH39" s="125"/>
      <c r="AI39" s="125"/>
      <c r="AJ39" s="125"/>
      <c r="AK39" s="125"/>
      <c r="AL39" s="125"/>
      <c r="AM39" s="129"/>
      <c r="AN39" s="129"/>
      <c r="AO39" s="129"/>
      <c r="AP39" s="129"/>
      <c r="AQ39" s="129"/>
      <c r="AR39" s="129"/>
      <c r="AS39" s="129"/>
      <c r="AT39" s="129"/>
      <c r="AU39" s="125"/>
      <c r="AV39" s="125"/>
      <c r="AW39" s="125"/>
      <c r="AX39" s="129"/>
      <c r="AY39" s="129"/>
      <c r="AZ39" s="129"/>
      <c r="BA39" s="137"/>
      <c r="BC39" s="54"/>
      <c r="BD39" s="54"/>
    </row>
    <row r="40" spans="1:56" ht="79.5" customHeight="1" x14ac:dyDescent="0.35">
      <c r="A40" s="114"/>
      <c r="B40" s="133"/>
      <c r="C40" s="133"/>
      <c r="D40" s="89" t="s">
        <v>176</v>
      </c>
      <c r="E40" s="89" t="s">
        <v>177</v>
      </c>
      <c r="F40" s="89">
        <v>2</v>
      </c>
      <c r="G40" s="92" t="s">
        <v>178</v>
      </c>
      <c r="H40" s="87">
        <v>1392</v>
      </c>
      <c r="I40" s="87">
        <f t="shared" si="11"/>
        <v>2784</v>
      </c>
      <c r="J40" s="87" t="s">
        <v>36</v>
      </c>
      <c r="K40" s="30" t="s">
        <v>36</v>
      </c>
      <c r="L40" s="87">
        <f>I40</f>
        <v>2784</v>
      </c>
      <c r="M40" s="129"/>
      <c r="N40" s="129"/>
      <c r="O40" s="129"/>
      <c r="P40" s="129"/>
      <c r="Q40" s="129"/>
      <c r="R40" s="125"/>
      <c r="S40" s="125"/>
      <c r="T40" s="125"/>
      <c r="U40" s="125"/>
      <c r="V40" s="125"/>
      <c r="W40" s="125"/>
      <c r="X40" s="129"/>
      <c r="Y40" s="129"/>
      <c r="Z40" s="129"/>
      <c r="AA40" s="129"/>
      <c r="AB40" s="129"/>
      <c r="AC40" s="129"/>
      <c r="AD40" s="129"/>
      <c r="AE40" s="129"/>
      <c r="AF40" s="129"/>
      <c r="AG40" s="125"/>
      <c r="AH40" s="125"/>
      <c r="AI40" s="125"/>
      <c r="AJ40" s="125"/>
      <c r="AK40" s="125"/>
      <c r="AL40" s="125"/>
      <c r="AM40" s="129"/>
      <c r="AN40" s="129"/>
      <c r="AO40" s="129"/>
      <c r="AP40" s="129"/>
      <c r="AQ40" s="129"/>
      <c r="AR40" s="129"/>
      <c r="AS40" s="129"/>
      <c r="AT40" s="129"/>
      <c r="AU40" s="125"/>
      <c r="AV40" s="125"/>
      <c r="AW40" s="125"/>
      <c r="AX40" s="129"/>
      <c r="AY40" s="129"/>
      <c r="AZ40" s="129"/>
      <c r="BA40" s="137"/>
      <c r="BC40" s="54"/>
      <c r="BD40" s="54"/>
    </row>
    <row r="41" spans="1:56" ht="30" x14ac:dyDescent="0.35">
      <c r="A41" s="114"/>
      <c r="B41" s="133"/>
      <c r="C41" s="133"/>
      <c r="D41" s="89" t="s">
        <v>88</v>
      </c>
      <c r="E41" s="89" t="s">
        <v>37</v>
      </c>
      <c r="F41" s="89">
        <v>2</v>
      </c>
      <c r="G41" s="46" t="s">
        <v>89</v>
      </c>
      <c r="H41" s="87">
        <v>1031</v>
      </c>
      <c r="I41" s="87">
        <f>F41*H41</f>
        <v>2062</v>
      </c>
      <c r="J41" s="87" t="s">
        <v>59</v>
      </c>
      <c r="K41" s="30">
        <v>1.05</v>
      </c>
      <c r="L41" s="87">
        <f>I41*K41</f>
        <v>2165.1</v>
      </c>
      <c r="M41" s="129"/>
      <c r="N41" s="129"/>
      <c r="O41" s="129"/>
      <c r="P41" s="130"/>
      <c r="Q41" s="130"/>
      <c r="R41" s="125"/>
      <c r="S41" s="125"/>
      <c r="T41" s="125"/>
      <c r="U41" s="125"/>
      <c r="V41" s="125"/>
      <c r="W41" s="125"/>
      <c r="X41" s="129"/>
      <c r="Y41" s="129"/>
      <c r="Z41" s="129"/>
      <c r="AA41" s="129"/>
      <c r="AB41" s="129"/>
      <c r="AC41" s="129"/>
      <c r="AD41" s="129"/>
      <c r="AE41" s="130"/>
      <c r="AF41" s="130"/>
      <c r="AG41" s="125"/>
      <c r="AH41" s="125"/>
      <c r="AI41" s="125"/>
      <c r="AJ41" s="125"/>
      <c r="AK41" s="125"/>
      <c r="AL41" s="125"/>
      <c r="AM41" s="129"/>
      <c r="AN41" s="129"/>
      <c r="AO41" s="129"/>
      <c r="AP41" s="129"/>
      <c r="AQ41" s="129"/>
      <c r="AR41" s="129"/>
      <c r="AS41" s="129"/>
      <c r="AT41" s="129"/>
      <c r="AU41" s="125"/>
      <c r="AV41" s="125"/>
      <c r="AW41" s="126"/>
      <c r="AX41" s="129"/>
      <c r="AY41" s="129"/>
      <c r="AZ41" s="129"/>
      <c r="BA41" s="137"/>
      <c r="BC41" s="54"/>
      <c r="BD41" s="54"/>
    </row>
    <row r="42" spans="1:56" ht="42.75" customHeight="1" x14ac:dyDescent="0.25">
      <c r="A42" s="102">
        <v>6</v>
      </c>
      <c r="B42" s="135" t="s">
        <v>96</v>
      </c>
      <c r="C42" s="122">
        <v>110</v>
      </c>
      <c r="D42" s="89" t="s">
        <v>52</v>
      </c>
      <c r="E42" s="89" t="s">
        <v>41</v>
      </c>
      <c r="F42" s="89">
        <v>1</v>
      </c>
      <c r="G42" s="29" t="s">
        <v>98</v>
      </c>
      <c r="H42" s="87">
        <v>500</v>
      </c>
      <c r="I42" s="87">
        <f t="shared" ref="I42:I43" si="13">F42*H42</f>
        <v>500</v>
      </c>
      <c r="J42" s="87" t="s">
        <v>36</v>
      </c>
      <c r="K42" s="30" t="s">
        <v>36</v>
      </c>
      <c r="L42" s="87">
        <f>I42</f>
        <v>500</v>
      </c>
      <c r="M42" s="128">
        <f>L42+L43</f>
        <v>7899.6</v>
      </c>
      <c r="N42" s="128">
        <f>M42*0.2</f>
        <v>1579.92</v>
      </c>
      <c r="O42" s="128">
        <f>M42*1.2</f>
        <v>9479.52</v>
      </c>
      <c r="P42" s="128">
        <f>(L43*R42*S42+L42*R42)*1.2</f>
        <v>10772.273957760002</v>
      </c>
      <c r="Q42" s="128">
        <f>P42</f>
        <v>10772.273957760002</v>
      </c>
      <c r="R42" s="121">
        <v>1.0740000000000001</v>
      </c>
      <c r="S42" s="121">
        <v>1.0620000000000001</v>
      </c>
      <c r="T42" s="121">
        <v>1.0509999999999999</v>
      </c>
      <c r="U42" s="121">
        <v>1.048</v>
      </c>
      <c r="V42" s="121">
        <v>1.0469999999999999</v>
      </c>
      <c r="W42" s="121">
        <v>1.0469999999999999</v>
      </c>
      <c r="X42" s="128">
        <v>630.59999999999991</v>
      </c>
      <c r="Y42" s="128">
        <v>9705.6705407999998</v>
      </c>
      <c r="Z42" s="128">
        <v>0</v>
      </c>
      <c r="AA42" s="128">
        <v>0</v>
      </c>
      <c r="AB42" s="128">
        <v>0</v>
      </c>
      <c r="AC42" s="128">
        <v>0</v>
      </c>
      <c r="AD42" s="128">
        <f>(L42+L43)*1.2</f>
        <v>9479.52</v>
      </c>
      <c r="AE42" s="128">
        <f>AM42+AN42</f>
        <v>10655.193692160001</v>
      </c>
      <c r="AF42" s="128">
        <f>AM42+AN42+AO42+AP42+AQ42+AR42</f>
        <v>10655.193692160001</v>
      </c>
      <c r="AG42" s="124">
        <v>1.0680000000000001</v>
      </c>
      <c r="AH42" s="124">
        <v>1.056</v>
      </c>
      <c r="AI42" s="124">
        <v>1.054</v>
      </c>
      <c r="AJ42" s="124">
        <v>1.0509999999999999</v>
      </c>
      <c r="AK42" s="121">
        <v>1.0489999999999999</v>
      </c>
      <c r="AL42" s="121">
        <v>1.0469999999999999</v>
      </c>
      <c r="AM42" s="128">
        <f>L42*1.2*AG42</f>
        <v>640.80000000000007</v>
      </c>
      <c r="AN42" s="128">
        <f>L43*1.2*AG42*AH42</f>
        <v>10014.393692160002</v>
      </c>
      <c r="AO42" s="128">
        <v>0</v>
      </c>
      <c r="AP42" s="128">
        <v>0</v>
      </c>
      <c r="AQ42" s="128">
        <v>0</v>
      </c>
      <c r="AR42" s="128">
        <v>0</v>
      </c>
      <c r="AS42" s="128">
        <v>9479.52</v>
      </c>
      <c r="AT42" s="128">
        <v>10772.273957760002</v>
      </c>
      <c r="AU42" s="163">
        <v>1.0740000000000001</v>
      </c>
      <c r="AV42" s="163">
        <v>1.0369999999999999</v>
      </c>
      <c r="AW42" s="163">
        <v>1.0389999999999999</v>
      </c>
      <c r="AX42" s="128">
        <v>644.40000000000009</v>
      </c>
      <c r="AY42" s="128">
        <v>10127.873957760003</v>
      </c>
      <c r="AZ42" s="128">
        <f>AS42-AD42</f>
        <v>0</v>
      </c>
      <c r="BA42" s="136">
        <f>AS42-O42</f>
        <v>0</v>
      </c>
    </row>
    <row r="43" spans="1:56" ht="45" customHeight="1" x14ac:dyDescent="0.25">
      <c r="A43" s="103"/>
      <c r="B43" s="135"/>
      <c r="C43" s="122"/>
      <c r="D43" s="89" t="s">
        <v>97</v>
      </c>
      <c r="E43" s="47" t="s">
        <v>33</v>
      </c>
      <c r="F43" s="89">
        <v>1</v>
      </c>
      <c r="G43" s="29" t="s">
        <v>99</v>
      </c>
      <c r="H43" s="87">
        <v>7115</v>
      </c>
      <c r="I43" s="87">
        <f t="shared" si="13"/>
        <v>7115</v>
      </c>
      <c r="J43" s="47" t="s">
        <v>100</v>
      </c>
      <c r="K43" s="30">
        <v>1.04</v>
      </c>
      <c r="L43" s="87">
        <f t="shared" ref="L43:L44" si="14">I43*K43</f>
        <v>7399.6</v>
      </c>
      <c r="M43" s="130"/>
      <c r="N43" s="130"/>
      <c r="O43" s="130"/>
      <c r="P43" s="130"/>
      <c r="Q43" s="130"/>
      <c r="R43" s="121"/>
      <c r="S43" s="121"/>
      <c r="T43" s="121"/>
      <c r="U43" s="121"/>
      <c r="V43" s="121"/>
      <c r="W43" s="121"/>
      <c r="X43" s="130"/>
      <c r="Y43" s="130"/>
      <c r="Z43" s="130"/>
      <c r="AA43" s="130"/>
      <c r="AB43" s="130"/>
      <c r="AC43" s="130"/>
      <c r="AD43" s="130"/>
      <c r="AE43" s="130"/>
      <c r="AF43" s="130"/>
      <c r="AG43" s="126"/>
      <c r="AH43" s="126"/>
      <c r="AI43" s="126"/>
      <c r="AJ43" s="126"/>
      <c r="AK43" s="121"/>
      <c r="AL43" s="121"/>
      <c r="AM43" s="130"/>
      <c r="AN43" s="130"/>
      <c r="AO43" s="130"/>
      <c r="AP43" s="130"/>
      <c r="AQ43" s="130"/>
      <c r="AR43" s="130"/>
      <c r="AS43" s="130"/>
      <c r="AT43" s="130"/>
      <c r="AU43" s="164"/>
      <c r="AV43" s="164"/>
      <c r="AW43" s="164"/>
      <c r="AX43" s="130"/>
      <c r="AY43" s="130"/>
      <c r="AZ43" s="130"/>
      <c r="BA43" s="138"/>
    </row>
    <row r="44" spans="1:56" ht="77.25" customHeight="1" x14ac:dyDescent="0.25">
      <c r="A44" s="89">
        <v>7</v>
      </c>
      <c r="B44" s="92" t="s">
        <v>101</v>
      </c>
      <c r="C44" s="88">
        <v>110</v>
      </c>
      <c r="D44" s="89" t="s">
        <v>102</v>
      </c>
      <c r="E44" s="47" t="s">
        <v>33</v>
      </c>
      <c r="F44" s="89">
        <v>3</v>
      </c>
      <c r="G44" s="29" t="s">
        <v>103</v>
      </c>
      <c r="H44" s="87">
        <v>180</v>
      </c>
      <c r="I44" s="87">
        <f>F44*H44</f>
        <v>540</v>
      </c>
      <c r="J44" s="47" t="s">
        <v>100</v>
      </c>
      <c r="K44" s="30">
        <v>1.04</v>
      </c>
      <c r="L44" s="87">
        <f t="shared" si="14"/>
        <v>561.6</v>
      </c>
      <c r="M44" s="81">
        <f>L44</f>
        <v>561.6</v>
      </c>
      <c r="N44" s="81">
        <f>M44*0.2</f>
        <v>112.32000000000001</v>
      </c>
      <c r="O44" s="81">
        <f>M44*1.2</f>
        <v>673.92</v>
      </c>
      <c r="P44" s="81">
        <f>O44*R44*S44</f>
        <v>768.66506496</v>
      </c>
      <c r="Q44" s="81">
        <f>P44</f>
        <v>768.66506496</v>
      </c>
      <c r="R44" s="86">
        <v>1.0740000000000001</v>
      </c>
      <c r="S44" s="86">
        <v>1.0620000000000001</v>
      </c>
      <c r="T44" s="86">
        <v>1.0509999999999999</v>
      </c>
      <c r="U44" s="86">
        <v>1.048</v>
      </c>
      <c r="V44" s="86">
        <v>1.0469999999999999</v>
      </c>
      <c r="W44" s="86">
        <v>1.0469999999999999</v>
      </c>
      <c r="X44" s="87">
        <v>0</v>
      </c>
      <c r="Y44" s="87">
        <v>736.62151679999999</v>
      </c>
      <c r="Z44" s="87">
        <v>0</v>
      </c>
      <c r="AA44" s="87">
        <v>0</v>
      </c>
      <c r="AB44" s="87">
        <v>0</v>
      </c>
      <c r="AC44" s="87">
        <v>0</v>
      </c>
      <c r="AD44" s="87">
        <f>L44*1.2</f>
        <v>673.92</v>
      </c>
      <c r="AE44" s="87">
        <f>AD44*AG44*AH44</f>
        <v>760.05236736000006</v>
      </c>
      <c r="AF44" s="87">
        <f>AM44+AN44+AO44+AP44+AQ44+AR44</f>
        <v>760.05236736000006</v>
      </c>
      <c r="AG44" s="86">
        <v>1.0680000000000001</v>
      </c>
      <c r="AH44" s="86">
        <v>1.056</v>
      </c>
      <c r="AI44" s="86">
        <v>1.054</v>
      </c>
      <c r="AJ44" s="86">
        <v>1.0509999999999999</v>
      </c>
      <c r="AK44" s="86">
        <v>1.0489999999999999</v>
      </c>
      <c r="AL44" s="86">
        <v>1.0469999999999999</v>
      </c>
      <c r="AM44" s="87">
        <v>0</v>
      </c>
      <c r="AN44" s="87">
        <f>L44*1.2*AG44*AH44</f>
        <v>760.05236736000006</v>
      </c>
      <c r="AO44" s="87">
        <v>0</v>
      </c>
      <c r="AP44" s="87">
        <v>0</v>
      </c>
      <c r="AQ44" s="87">
        <v>0</v>
      </c>
      <c r="AR44" s="87">
        <v>0</v>
      </c>
      <c r="AS44" s="81">
        <v>673.92</v>
      </c>
      <c r="AT44" s="81">
        <v>768.66506496</v>
      </c>
      <c r="AU44" s="83">
        <v>1.0740000000000001</v>
      </c>
      <c r="AV44" s="83">
        <v>1.0369999999999999</v>
      </c>
      <c r="AW44" s="83">
        <v>1.0389999999999999</v>
      </c>
      <c r="AX44" s="82">
        <v>0</v>
      </c>
      <c r="AY44" s="81">
        <v>768.66506496</v>
      </c>
      <c r="AZ44" s="81">
        <f>AS44-AD44</f>
        <v>0</v>
      </c>
      <c r="BA44" s="85">
        <f>AS44-O44</f>
        <v>0</v>
      </c>
    </row>
    <row r="45" spans="1:56" ht="42" customHeight="1" x14ac:dyDescent="0.25">
      <c r="A45" s="102">
        <v>8</v>
      </c>
      <c r="B45" s="133" t="s">
        <v>289</v>
      </c>
      <c r="C45" s="117" t="s">
        <v>104</v>
      </c>
      <c r="D45" s="78" t="s">
        <v>105</v>
      </c>
      <c r="E45" s="78" t="s">
        <v>41</v>
      </c>
      <c r="F45" s="78">
        <v>1</v>
      </c>
      <c r="G45" s="49" t="s">
        <v>98</v>
      </c>
      <c r="H45" s="81">
        <v>3000</v>
      </c>
      <c r="I45" s="81">
        <f t="shared" ref="I45:I49" si="15">F45*H45</f>
        <v>3000</v>
      </c>
      <c r="J45" s="81" t="s">
        <v>36</v>
      </c>
      <c r="K45" s="50" t="s">
        <v>36</v>
      </c>
      <c r="L45" s="81">
        <f>I45</f>
        <v>3000</v>
      </c>
      <c r="M45" s="129">
        <f>SUM(L45:L57)</f>
        <v>43664.000000000007</v>
      </c>
      <c r="N45" s="129">
        <f>M45*0.2</f>
        <v>8732.8000000000011</v>
      </c>
      <c r="O45" s="129">
        <f>M45*1.2</f>
        <v>52396.80000000001</v>
      </c>
      <c r="P45" s="197">
        <f>O45*R45*S45*T45</f>
        <v>62811.082545638419</v>
      </c>
      <c r="Q45" s="197">
        <f>X45+Y45+Z45+AA45+AB45+AC45</f>
        <v>65618.869127502665</v>
      </c>
      <c r="R45" s="125">
        <v>1.0740000000000001</v>
      </c>
      <c r="S45" s="125">
        <v>1.0620000000000001</v>
      </c>
      <c r="T45" s="125">
        <v>1.0509999999999999</v>
      </c>
      <c r="U45" s="125">
        <v>1.048</v>
      </c>
      <c r="V45" s="125">
        <v>1.0469999999999999</v>
      </c>
      <c r="W45" s="125">
        <v>1.0469999999999999</v>
      </c>
      <c r="X45" s="129">
        <v>0</v>
      </c>
      <c r="Y45" s="129">
        <v>0</v>
      </c>
      <c r="Z45" s="129">
        <f>L45*R45*S45*T45*1.2</f>
        <v>4315.5287567999994</v>
      </c>
      <c r="AA45" s="129">
        <f>(L46+L47+L48+L49+L50+L51+L52+L53+L54+L55+L56+L57)*1.2*R45*S45*T45*U45</f>
        <v>61303.340370702666</v>
      </c>
      <c r="AB45" s="129">
        <v>0</v>
      </c>
      <c r="AC45" s="129">
        <v>0</v>
      </c>
      <c r="AD45" s="129">
        <f>(L45+L46+L47+L48+L49+L50+L51+L52+L53+L54+L55+L56+L57)*1.2</f>
        <v>52396.80000000001</v>
      </c>
      <c r="AE45" s="128">
        <f>AD45*AG45*AH45*AI45</f>
        <v>58990.833324748812</v>
      </c>
      <c r="AF45" s="128">
        <f>AM45+AN45+AO45+AP45+AQ45+AR45</f>
        <v>63759.76229598013</v>
      </c>
      <c r="AG45" s="125">
        <v>1.032</v>
      </c>
      <c r="AH45" s="125">
        <v>1.038</v>
      </c>
      <c r="AI45" s="125">
        <v>1.0509999999999999</v>
      </c>
      <c r="AJ45" s="125">
        <v>1.0429999999999999</v>
      </c>
      <c r="AK45" s="125">
        <v>1.042</v>
      </c>
      <c r="AL45" s="125">
        <v>1.0409999999999999</v>
      </c>
      <c r="AM45" s="129">
        <v>0</v>
      </c>
      <c r="AN45" s="129">
        <v>0</v>
      </c>
      <c r="AO45" s="129">
        <f>L45*1.2*AG45*AH45*AI45</f>
        <v>4053.0528576000002</v>
      </c>
      <c r="AP45" s="129">
        <v>0</v>
      </c>
      <c r="AQ45" s="129">
        <f>SUM(L46:L57)*1.2*AG45*AH45*AI45*AJ45*AK45</f>
        <v>59706.70943838013</v>
      </c>
      <c r="AR45" s="129">
        <v>0</v>
      </c>
      <c r="AS45" s="128">
        <f>O45</f>
        <v>52396.80000000001</v>
      </c>
      <c r="AT45" s="128" t="s">
        <v>183</v>
      </c>
      <c r="AU45" s="124">
        <v>1.0740000000000001</v>
      </c>
      <c r="AV45" s="124">
        <v>1.0369999999999999</v>
      </c>
      <c r="AW45" s="124">
        <v>1.0389999999999999</v>
      </c>
      <c r="AX45" s="128">
        <v>0</v>
      </c>
      <c r="AY45" s="128">
        <v>0</v>
      </c>
      <c r="AZ45" s="128">
        <f>L45*1.2*AU45*AV45*AW45</f>
        <v>4165.8256151999994</v>
      </c>
      <c r="BA45" s="128">
        <f>AS9-O9</f>
        <v>0</v>
      </c>
    </row>
    <row r="46" spans="1:56" ht="62.25" customHeight="1" x14ac:dyDescent="0.25">
      <c r="A46" s="114"/>
      <c r="B46" s="133"/>
      <c r="C46" s="117"/>
      <c r="D46" s="78" t="s">
        <v>106</v>
      </c>
      <c r="E46" s="46" t="s">
        <v>107</v>
      </c>
      <c r="F46" s="78">
        <v>33</v>
      </c>
      <c r="G46" s="49" t="s">
        <v>108</v>
      </c>
      <c r="H46" s="81">
        <v>14</v>
      </c>
      <c r="I46" s="81">
        <f t="shared" si="15"/>
        <v>462</v>
      </c>
      <c r="J46" s="47" t="s">
        <v>100</v>
      </c>
      <c r="K46" s="50">
        <v>1.04</v>
      </c>
      <c r="L46" s="87">
        <f t="shared" ref="L46:L57" si="16">I46*K46</f>
        <v>480.48</v>
      </c>
      <c r="M46" s="129"/>
      <c r="N46" s="129"/>
      <c r="O46" s="129"/>
      <c r="P46" s="198"/>
      <c r="Q46" s="198"/>
      <c r="R46" s="125"/>
      <c r="S46" s="125"/>
      <c r="T46" s="125"/>
      <c r="U46" s="125"/>
      <c r="V46" s="125"/>
      <c r="W46" s="125"/>
      <c r="X46" s="129"/>
      <c r="Y46" s="129"/>
      <c r="Z46" s="129"/>
      <c r="AA46" s="129"/>
      <c r="AB46" s="129"/>
      <c r="AC46" s="129"/>
      <c r="AD46" s="129"/>
      <c r="AE46" s="129"/>
      <c r="AF46" s="129"/>
      <c r="AG46" s="125"/>
      <c r="AH46" s="125"/>
      <c r="AI46" s="125"/>
      <c r="AJ46" s="125"/>
      <c r="AK46" s="125"/>
      <c r="AL46" s="125"/>
      <c r="AM46" s="129"/>
      <c r="AN46" s="129"/>
      <c r="AO46" s="129"/>
      <c r="AP46" s="129"/>
      <c r="AQ46" s="129"/>
      <c r="AR46" s="129"/>
      <c r="AS46" s="129"/>
      <c r="AT46" s="129"/>
      <c r="AU46" s="125"/>
      <c r="AV46" s="125"/>
      <c r="AW46" s="125"/>
      <c r="AX46" s="129"/>
      <c r="AY46" s="129"/>
      <c r="AZ46" s="129"/>
      <c r="BA46" s="129"/>
    </row>
    <row r="47" spans="1:56" ht="51" customHeight="1" x14ac:dyDescent="0.25">
      <c r="A47" s="114"/>
      <c r="B47" s="133"/>
      <c r="C47" s="117"/>
      <c r="D47" s="78" t="s">
        <v>109</v>
      </c>
      <c r="E47" s="46" t="s">
        <v>107</v>
      </c>
      <c r="F47" s="78">
        <v>127</v>
      </c>
      <c r="G47" s="49" t="s">
        <v>110</v>
      </c>
      <c r="H47" s="81">
        <v>24</v>
      </c>
      <c r="I47" s="81">
        <f t="shared" si="15"/>
        <v>3048</v>
      </c>
      <c r="J47" s="47" t="s">
        <v>100</v>
      </c>
      <c r="K47" s="50">
        <v>1.04</v>
      </c>
      <c r="L47" s="87">
        <f t="shared" si="16"/>
        <v>3169.92</v>
      </c>
      <c r="M47" s="129"/>
      <c r="N47" s="129"/>
      <c r="O47" s="129"/>
      <c r="P47" s="198"/>
      <c r="Q47" s="198"/>
      <c r="R47" s="125"/>
      <c r="S47" s="125"/>
      <c r="T47" s="125"/>
      <c r="U47" s="125"/>
      <c r="V47" s="125"/>
      <c r="W47" s="125"/>
      <c r="X47" s="129"/>
      <c r="Y47" s="129"/>
      <c r="Z47" s="129"/>
      <c r="AA47" s="129"/>
      <c r="AB47" s="129"/>
      <c r="AC47" s="129"/>
      <c r="AD47" s="129"/>
      <c r="AE47" s="129"/>
      <c r="AF47" s="129"/>
      <c r="AG47" s="125"/>
      <c r="AH47" s="125"/>
      <c r="AI47" s="125"/>
      <c r="AJ47" s="125"/>
      <c r="AK47" s="125"/>
      <c r="AL47" s="125"/>
      <c r="AM47" s="129"/>
      <c r="AN47" s="129"/>
      <c r="AO47" s="129"/>
      <c r="AP47" s="129"/>
      <c r="AQ47" s="129"/>
      <c r="AR47" s="129"/>
      <c r="AS47" s="129"/>
      <c r="AT47" s="129"/>
      <c r="AU47" s="125"/>
      <c r="AV47" s="125"/>
      <c r="AW47" s="125"/>
      <c r="AX47" s="129"/>
      <c r="AY47" s="129"/>
      <c r="AZ47" s="129"/>
      <c r="BA47" s="129"/>
    </row>
    <row r="48" spans="1:56" ht="38.25" customHeight="1" x14ac:dyDescent="0.25">
      <c r="A48" s="114"/>
      <c r="B48" s="133"/>
      <c r="C48" s="117"/>
      <c r="D48" s="78" t="s">
        <v>111</v>
      </c>
      <c r="E48" s="47" t="s">
        <v>33</v>
      </c>
      <c r="F48" s="78">
        <v>1</v>
      </c>
      <c r="G48" s="49" t="s">
        <v>112</v>
      </c>
      <c r="H48" s="81">
        <v>174</v>
      </c>
      <c r="I48" s="81">
        <f t="shared" si="15"/>
        <v>174</v>
      </c>
      <c r="J48" s="47" t="s">
        <v>100</v>
      </c>
      <c r="K48" s="50">
        <v>1.04</v>
      </c>
      <c r="L48" s="87">
        <f t="shared" si="16"/>
        <v>180.96</v>
      </c>
      <c r="M48" s="129"/>
      <c r="N48" s="129"/>
      <c r="O48" s="129"/>
      <c r="P48" s="198"/>
      <c r="Q48" s="198"/>
      <c r="R48" s="125"/>
      <c r="S48" s="125"/>
      <c r="T48" s="125"/>
      <c r="U48" s="125"/>
      <c r="V48" s="125"/>
      <c r="W48" s="125"/>
      <c r="X48" s="129"/>
      <c r="Y48" s="129"/>
      <c r="Z48" s="129"/>
      <c r="AA48" s="129"/>
      <c r="AB48" s="129"/>
      <c r="AC48" s="129"/>
      <c r="AD48" s="129"/>
      <c r="AE48" s="129"/>
      <c r="AF48" s="129"/>
      <c r="AG48" s="125"/>
      <c r="AH48" s="125"/>
      <c r="AI48" s="125"/>
      <c r="AJ48" s="125"/>
      <c r="AK48" s="125"/>
      <c r="AL48" s="125"/>
      <c r="AM48" s="129"/>
      <c r="AN48" s="129"/>
      <c r="AO48" s="129"/>
      <c r="AP48" s="129"/>
      <c r="AQ48" s="129"/>
      <c r="AR48" s="129"/>
      <c r="AS48" s="129"/>
      <c r="AT48" s="129"/>
      <c r="AU48" s="125"/>
      <c r="AV48" s="125"/>
      <c r="AW48" s="125"/>
      <c r="AX48" s="129"/>
      <c r="AY48" s="129"/>
      <c r="AZ48" s="129"/>
      <c r="BA48" s="129"/>
    </row>
    <row r="49" spans="1:54" ht="40.5" customHeight="1" x14ac:dyDescent="0.25">
      <c r="A49" s="114"/>
      <c r="B49" s="133"/>
      <c r="C49" s="117"/>
      <c r="D49" s="78" t="s">
        <v>111</v>
      </c>
      <c r="E49" s="47" t="s">
        <v>33</v>
      </c>
      <c r="F49" s="78">
        <v>3</v>
      </c>
      <c r="G49" s="49" t="s">
        <v>112</v>
      </c>
      <c r="H49" s="81">
        <v>174</v>
      </c>
      <c r="I49" s="81">
        <f t="shared" si="15"/>
        <v>522</v>
      </c>
      <c r="J49" s="47" t="s">
        <v>100</v>
      </c>
      <c r="K49" s="50">
        <v>1.04</v>
      </c>
      <c r="L49" s="87">
        <f t="shared" si="16"/>
        <v>542.88</v>
      </c>
      <c r="M49" s="129"/>
      <c r="N49" s="129"/>
      <c r="O49" s="129"/>
      <c r="P49" s="198"/>
      <c r="Q49" s="198"/>
      <c r="R49" s="125"/>
      <c r="S49" s="125"/>
      <c r="T49" s="125"/>
      <c r="U49" s="125"/>
      <c r="V49" s="125"/>
      <c r="W49" s="125"/>
      <c r="X49" s="129"/>
      <c r="Y49" s="129"/>
      <c r="Z49" s="129"/>
      <c r="AA49" s="129"/>
      <c r="AB49" s="129"/>
      <c r="AC49" s="129"/>
      <c r="AD49" s="129"/>
      <c r="AE49" s="129"/>
      <c r="AF49" s="129"/>
      <c r="AG49" s="125"/>
      <c r="AH49" s="125"/>
      <c r="AI49" s="125"/>
      <c r="AJ49" s="125"/>
      <c r="AK49" s="125"/>
      <c r="AL49" s="125"/>
      <c r="AM49" s="129"/>
      <c r="AN49" s="129"/>
      <c r="AO49" s="129"/>
      <c r="AP49" s="129"/>
      <c r="AQ49" s="129"/>
      <c r="AR49" s="129"/>
      <c r="AS49" s="129"/>
      <c r="AT49" s="129"/>
      <c r="AU49" s="125"/>
      <c r="AV49" s="125"/>
      <c r="AW49" s="125"/>
      <c r="AX49" s="129"/>
      <c r="AY49" s="129"/>
      <c r="AZ49" s="129"/>
      <c r="BA49" s="129"/>
    </row>
    <row r="50" spans="1:54" ht="45.75" customHeight="1" x14ac:dyDescent="0.25">
      <c r="A50" s="114"/>
      <c r="B50" s="133"/>
      <c r="C50" s="117"/>
      <c r="D50" s="78" t="s">
        <v>109</v>
      </c>
      <c r="E50" s="46" t="s">
        <v>107</v>
      </c>
      <c r="F50" s="78">
        <v>452</v>
      </c>
      <c r="G50" s="49" t="s">
        <v>110</v>
      </c>
      <c r="H50" s="81">
        <v>24</v>
      </c>
      <c r="I50" s="81">
        <f>F50*H50</f>
        <v>10848</v>
      </c>
      <c r="J50" s="47" t="s">
        <v>100</v>
      </c>
      <c r="K50" s="50">
        <v>1.04</v>
      </c>
      <c r="L50" s="87">
        <f t="shared" si="16"/>
        <v>11281.92</v>
      </c>
      <c r="M50" s="129"/>
      <c r="N50" s="129"/>
      <c r="O50" s="129"/>
      <c r="P50" s="198"/>
      <c r="Q50" s="198"/>
      <c r="R50" s="125"/>
      <c r="S50" s="125"/>
      <c r="T50" s="125"/>
      <c r="U50" s="125"/>
      <c r="V50" s="125"/>
      <c r="W50" s="125"/>
      <c r="X50" s="129"/>
      <c r="Y50" s="129"/>
      <c r="Z50" s="129"/>
      <c r="AA50" s="129"/>
      <c r="AB50" s="129"/>
      <c r="AC50" s="129"/>
      <c r="AD50" s="129"/>
      <c r="AE50" s="129"/>
      <c r="AF50" s="129"/>
      <c r="AG50" s="125"/>
      <c r="AH50" s="125"/>
      <c r="AI50" s="125"/>
      <c r="AJ50" s="125"/>
      <c r="AK50" s="125"/>
      <c r="AL50" s="125"/>
      <c r="AM50" s="129"/>
      <c r="AN50" s="129"/>
      <c r="AO50" s="129"/>
      <c r="AP50" s="129"/>
      <c r="AQ50" s="129"/>
      <c r="AR50" s="129"/>
      <c r="AS50" s="129"/>
      <c r="AT50" s="129"/>
      <c r="AU50" s="125"/>
      <c r="AV50" s="125"/>
      <c r="AW50" s="125"/>
      <c r="AX50" s="129"/>
      <c r="AY50" s="129"/>
      <c r="AZ50" s="129"/>
      <c r="BA50" s="129"/>
    </row>
    <row r="51" spans="1:54" ht="35.25" customHeight="1" x14ac:dyDescent="0.25">
      <c r="A51" s="114"/>
      <c r="B51" s="133"/>
      <c r="C51" s="117"/>
      <c r="D51" s="78" t="s">
        <v>111</v>
      </c>
      <c r="E51" s="47" t="s">
        <v>33</v>
      </c>
      <c r="F51" s="78">
        <v>11</v>
      </c>
      <c r="G51" s="49" t="s">
        <v>112</v>
      </c>
      <c r="H51" s="81">
        <v>174</v>
      </c>
      <c r="I51" s="81">
        <f t="shared" ref="I51:I57" si="17">F51*H51</f>
        <v>1914</v>
      </c>
      <c r="J51" s="47" t="s">
        <v>100</v>
      </c>
      <c r="K51" s="50">
        <v>1.04</v>
      </c>
      <c r="L51" s="87">
        <f t="shared" si="16"/>
        <v>1990.5600000000002</v>
      </c>
      <c r="M51" s="129"/>
      <c r="N51" s="129"/>
      <c r="O51" s="129"/>
      <c r="P51" s="198"/>
      <c r="Q51" s="198"/>
      <c r="R51" s="125"/>
      <c r="S51" s="125"/>
      <c r="T51" s="125"/>
      <c r="U51" s="125"/>
      <c r="V51" s="125"/>
      <c r="W51" s="125"/>
      <c r="X51" s="129"/>
      <c r="Y51" s="129"/>
      <c r="Z51" s="129"/>
      <c r="AA51" s="129"/>
      <c r="AB51" s="129"/>
      <c r="AC51" s="129"/>
      <c r="AD51" s="129"/>
      <c r="AE51" s="129"/>
      <c r="AF51" s="129"/>
      <c r="AG51" s="125"/>
      <c r="AH51" s="125"/>
      <c r="AI51" s="125"/>
      <c r="AJ51" s="125"/>
      <c r="AK51" s="125"/>
      <c r="AL51" s="125"/>
      <c r="AM51" s="129"/>
      <c r="AN51" s="129"/>
      <c r="AO51" s="129"/>
      <c r="AP51" s="129"/>
      <c r="AQ51" s="129"/>
      <c r="AR51" s="129"/>
      <c r="AS51" s="129"/>
      <c r="AT51" s="129"/>
      <c r="AU51" s="125"/>
      <c r="AV51" s="125"/>
      <c r="AW51" s="125"/>
      <c r="AX51" s="129"/>
      <c r="AY51" s="129"/>
      <c r="AZ51" s="129"/>
      <c r="BA51" s="129"/>
    </row>
    <row r="52" spans="1:54" ht="41.25" customHeight="1" x14ac:dyDescent="0.25">
      <c r="A52" s="114"/>
      <c r="B52" s="133"/>
      <c r="C52" s="117"/>
      <c r="D52" s="78" t="s">
        <v>113</v>
      </c>
      <c r="E52" s="47" t="s">
        <v>33</v>
      </c>
      <c r="F52" s="78">
        <v>22</v>
      </c>
      <c r="G52" s="49" t="s">
        <v>114</v>
      </c>
      <c r="H52" s="81">
        <v>588</v>
      </c>
      <c r="I52" s="81">
        <f t="shared" si="17"/>
        <v>12936</v>
      </c>
      <c r="J52" s="47" t="s">
        <v>100</v>
      </c>
      <c r="K52" s="50">
        <v>1.04</v>
      </c>
      <c r="L52" s="87">
        <f t="shared" si="16"/>
        <v>13453.44</v>
      </c>
      <c r="M52" s="129"/>
      <c r="N52" s="129"/>
      <c r="O52" s="129"/>
      <c r="P52" s="198"/>
      <c r="Q52" s="198"/>
      <c r="R52" s="125"/>
      <c r="S52" s="125"/>
      <c r="T52" s="125"/>
      <c r="U52" s="125"/>
      <c r="V52" s="125"/>
      <c r="W52" s="125"/>
      <c r="X52" s="129"/>
      <c r="Y52" s="129"/>
      <c r="Z52" s="129"/>
      <c r="AA52" s="129"/>
      <c r="AB52" s="129"/>
      <c r="AC52" s="129"/>
      <c r="AD52" s="129"/>
      <c r="AE52" s="129"/>
      <c r="AF52" s="129"/>
      <c r="AG52" s="125"/>
      <c r="AH52" s="125"/>
      <c r="AI52" s="125"/>
      <c r="AJ52" s="125"/>
      <c r="AK52" s="125"/>
      <c r="AL52" s="125"/>
      <c r="AM52" s="129"/>
      <c r="AN52" s="129"/>
      <c r="AO52" s="129"/>
      <c r="AP52" s="129"/>
      <c r="AQ52" s="129"/>
      <c r="AR52" s="129"/>
      <c r="AS52" s="129"/>
      <c r="AT52" s="129"/>
      <c r="AU52" s="125"/>
      <c r="AV52" s="125"/>
      <c r="AW52" s="125"/>
      <c r="AX52" s="129"/>
      <c r="AY52" s="129"/>
      <c r="AZ52" s="129"/>
      <c r="BA52" s="129"/>
    </row>
    <row r="53" spans="1:54" ht="37.5" customHeight="1" x14ac:dyDescent="0.25">
      <c r="A53" s="114"/>
      <c r="B53" s="133"/>
      <c r="C53" s="117"/>
      <c r="D53" s="78" t="s">
        <v>115</v>
      </c>
      <c r="E53" s="47" t="s">
        <v>33</v>
      </c>
      <c r="F53" s="78">
        <v>1</v>
      </c>
      <c r="G53" s="49" t="s">
        <v>116</v>
      </c>
      <c r="H53" s="81">
        <v>1356</v>
      </c>
      <c r="I53" s="81">
        <f t="shared" si="17"/>
        <v>1356</v>
      </c>
      <c r="J53" s="47" t="s">
        <v>100</v>
      </c>
      <c r="K53" s="50">
        <v>1.04</v>
      </c>
      <c r="L53" s="87">
        <f t="shared" si="16"/>
        <v>1410.24</v>
      </c>
      <c r="M53" s="129"/>
      <c r="N53" s="129"/>
      <c r="O53" s="129"/>
      <c r="P53" s="198"/>
      <c r="Q53" s="198"/>
      <c r="R53" s="125"/>
      <c r="S53" s="125"/>
      <c r="T53" s="125"/>
      <c r="U53" s="125"/>
      <c r="V53" s="125"/>
      <c r="W53" s="125"/>
      <c r="X53" s="129"/>
      <c r="Y53" s="129"/>
      <c r="Z53" s="129"/>
      <c r="AA53" s="129"/>
      <c r="AB53" s="129"/>
      <c r="AC53" s="129"/>
      <c r="AD53" s="129"/>
      <c r="AE53" s="129"/>
      <c r="AF53" s="129"/>
      <c r="AG53" s="125"/>
      <c r="AH53" s="125"/>
      <c r="AI53" s="125"/>
      <c r="AJ53" s="125"/>
      <c r="AK53" s="125"/>
      <c r="AL53" s="125"/>
      <c r="AM53" s="129"/>
      <c r="AN53" s="129"/>
      <c r="AO53" s="129"/>
      <c r="AP53" s="129"/>
      <c r="AQ53" s="129"/>
      <c r="AR53" s="129"/>
      <c r="AS53" s="129"/>
      <c r="AT53" s="129"/>
      <c r="AU53" s="125"/>
      <c r="AV53" s="125"/>
      <c r="AW53" s="125"/>
      <c r="AX53" s="129"/>
      <c r="AY53" s="129"/>
      <c r="AZ53" s="129"/>
      <c r="BA53" s="129"/>
    </row>
    <row r="54" spans="1:54" ht="41.25" customHeight="1" x14ac:dyDescent="0.25">
      <c r="A54" s="114"/>
      <c r="B54" s="133"/>
      <c r="C54" s="117"/>
      <c r="D54" s="78" t="s">
        <v>117</v>
      </c>
      <c r="E54" s="47" t="s">
        <v>33</v>
      </c>
      <c r="F54" s="78">
        <v>1</v>
      </c>
      <c r="G54" s="49" t="s">
        <v>118</v>
      </c>
      <c r="H54" s="81">
        <v>1571</v>
      </c>
      <c r="I54" s="81">
        <f t="shared" si="17"/>
        <v>1571</v>
      </c>
      <c r="J54" s="47" t="s">
        <v>100</v>
      </c>
      <c r="K54" s="50">
        <v>1.04</v>
      </c>
      <c r="L54" s="87">
        <f t="shared" si="16"/>
        <v>1633.8400000000001</v>
      </c>
      <c r="M54" s="129"/>
      <c r="N54" s="129"/>
      <c r="O54" s="129"/>
      <c r="P54" s="198"/>
      <c r="Q54" s="198"/>
      <c r="R54" s="125"/>
      <c r="S54" s="125"/>
      <c r="T54" s="125"/>
      <c r="U54" s="125"/>
      <c r="V54" s="125"/>
      <c r="W54" s="125"/>
      <c r="X54" s="129"/>
      <c r="Y54" s="129"/>
      <c r="Z54" s="129"/>
      <c r="AA54" s="129"/>
      <c r="AB54" s="129"/>
      <c r="AC54" s="129"/>
      <c r="AD54" s="129"/>
      <c r="AE54" s="129"/>
      <c r="AF54" s="129"/>
      <c r="AG54" s="125"/>
      <c r="AH54" s="125"/>
      <c r="AI54" s="125"/>
      <c r="AJ54" s="125"/>
      <c r="AK54" s="125"/>
      <c r="AL54" s="125"/>
      <c r="AM54" s="129"/>
      <c r="AN54" s="129"/>
      <c r="AO54" s="129"/>
      <c r="AP54" s="129"/>
      <c r="AQ54" s="129"/>
      <c r="AR54" s="129"/>
      <c r="AS54" s="129"/>
      <c r="AT54" s="129"/>
      <c r="AU54" s="125"/>
      <c r="AV54" s="125"/>
      <c r="AW54" s="125"/>
      <c r="AX54" s="129"/>
      <c r="AY54" s="129"/>
      <c r="AZ54" s="129"/>
      <c r="BA54" s="129"/>
    </row>
    <row r="55" spans="1:54" ht="42" customHeight="1" x14ac:dyDescent="0.25">
      <c r="A55" s="114"/>
      <c r="B55" s="133"/>
      <c r="C55" s="117"/>
      <c r="D55" s="78" t="s">
        <v>119</v>
      </c>
      <c r="E55" s="47" t="s">
        <v>33</v>
      </c>
      <c r="F55" s="78">
        <v>1</v>
      </c>
      <c r="G55" s="49" t="s">
        <v>120</v>
      </c>
      <c r="H55" s="81">
        <v>3485</v>
      </c>
      <c r="I55" s="81">
        <f t="shared" si="17"/>
        <v>3485</v>
      </c>
      <c r="J55" s="47" t="s">
        <v>100</v>
      </c>
      <c r="K55" s="50">
        <v>1.04</v>
      </c>
      <c r="L55" s="87">
        <f t="shared" si="16"/>
        <v>3624.4</v>
      </c>
      <c r="M55" s="129"/>
      <c r="N55" s="129"/>
      <c r="O55" s="129"/>
      <c r="P55" s="198"/>
      <c r="Q55" s="198"/>
      <c r="R55" s="125"/>
      <c r="S55" s="125"/>
      <c r="T55" s="125"/>
      <c r="U55" s="125"/>
      <c r="V55" s="125"/>
      <c r="W55" s="125"/>
      <c r="X55" s="129"/>
      <c r="Y55" s="129"/>
      <c r="Z55" s="129"/>
      <c r="AA55" s="129"/>
      <c r="AB55" s="129"/>
      <c r="AC55" s="129"/>
      <c r="AD55" s="129"/>
      <c r="AE55" s="129"/>
      <c r="AF55" s="129"/>
      <c r="AG55" s="125"/>
      <c r="AH55" s="125"/>
      <c r="AI55" s="125"/>
      <c r="AJ55" s="125"/>
      <c r="AK55" s="125"/>
      <c r="AL55" s="125"/>
      <c r="AM55" s="129"/>
      <c r="AN55" s="129"/>
      <c r="AO55" s="129"/>
      <c r="AP55" s="129"/>
      <c r="AQ55" s="129"/>
      <c r="AR55" s="129"/>
      <c r="AS55" s="129"/>
      <c r="AT55" s="129"/>
      <c r="AU55" s="125"/>
      <c r="AV55" s="125"/>
      <c r="AW55" s="125"/>
      <c r="AX55" s="129"/>
      <c r="AY55" s="129"/>
      <c r="AZ55" s="129"/>
      <c r="BA55" s="129"/>
    </row>
    <row r="56" spans="1:54" ht="49.5" customHeight="1" x14ac:dyDescent="0.25">
      <c r="A56" s="114"/>
      <c r="B56" s="133"/>
      <c r="C56" s="117"/>
      <c r="D56" s="78" t="s">
        <v>121</v>
      </c>
      <c r="E56" s="47" t="s">
        <v>33</v>
      </c>
      <c r="F56" s="78">
        <v>1</v>
      </c>
      <c r="G56" s="49" t="s">
        <v>122</v>
      </c>
      <c r="H56" s="81">
        <v>2418</v>
      </c>
      <c r="I56" s="81">
        <f t="shared" si="17"/>
        <v>2418</v>
      </c>
      <c r="J56" s="47" t="s">
        <v>100</v>
      </c>
      <c r="K56" s="50">
        <v>1.04</v>
      </c>
      <c r="L56" s="87">
        <f>I56*K56</f>
        <v>2514.7200000000003</v>
      </c>
      <c r="M56" s="129"/>
      <c r="N56" s="129"/>
      <c r="O56" s="129"/>
      <c r="P56" s="198"/>
      <c r="Q56" s="198"/>
      <c r="R56" s="125"/>
      <c r="S56" s="125"/>
      <c r="T56" s="125"/>
      <c r="U56" s="125"/>
      <c r="V56" s="125"/>
      <c r="W56" s="125"/>
      <c r="X56" s="129"/>
      <c r="Y56" s="129"/>
      <c r="Z56" s="129"/>
      <c r="AA56" s="129"/>
      <c r="AB56" s="129"/>
      <c r="AC56" s="129"/>
      <c r="AD56" s="129"/>
      <c r="AE56" s="129"/>
      <c r="AF56" s="129"/>
      <c r="AG56" s="125"/>
      <c r="AH56" s="125"/>
      <c r="AI56" s="125"/>
      <c r="AJ56" s="125"/>
      <c r="AK56" s="125"/>
      <c r="AL56" s="125"/>
      <c r="AM56" s="129"/>
      <c r="AN56" s="129"/>
      <c r="AO56" s="129"/>
      <c r="AP56" s="129"/>
      <c r="AQ56" s="129"/>
      <c r="AR56" s="129"/>
      <c r="AS56" s="129"/>
      <c r="AT56" s="129"/>
      <c r="AU56" s="125"/>
      <c r="AV56" s="125"/>
      <c r="AW56" s="125"/>
      <c r="AX56" s="129"/>
      <c r="AY56" s="129"/>
      <c r="AZ56" s="129"/>
      <c r="BA56" s="129"/>
    </row>
    <row r="57" spans="1:54" ht="42" customHeight="1" x14ac:dyDescent="0.25">
      <c r="A57" s="103"/>
      <c r="B57" s="134"/>
      <c r="C57" s="109"/>
      <c r="D57" s="78" t="s">
        <v>123</v>
      </c>
      <c r="E57" s="47" t="s">
        <v>33</v>
      </c>
      <c r="F57" s="78">
        <v>1</v>
      </c>
      <c r="G57" s="49" t="s">
        <v>124</v>
      </c>
      <c r="H57" s="81">
        <v>366</v>
      </c>
      <c r="I57" s="81">
        <f t="shared" si="17"/>
        <v>366</v>
      </c>
      <c r="J57" s="47" t="s">
        <v>100</v>
      </c>
      <c r="K57" s="50">
        <v>1.04</v>
      </c>
      <c r="L57" s="87">
        <f t="shared" si="16"/>
        <v>380.64</v>
      </c>
      <c r="M57" s="130"/>
      <c r="N57" s="130"/>
      <c r="O57" s="130"/>
      <c r="P57" s="199"/>
      <c r="Q57" s="199"/>
      <c r="R57" s="126"/>
      <c r="S57" s="126"/>
      <c r="T57" s="126"/>
      <c r="U57" s="126"/>
      <c r="V57" s="126"/>
      <c r="W57" s="126"/>
      <c r="X57" s="130"/>
      <c r="Y57" s="130"/>
      <c r="Z57" s="130"/>
      <c r="AA57" s="130"/>
      <c r="AB57" s="130"/>
      <c r="AC57" s="130"/>
      <c r="AD57" s="130"/>
      <c r="AE57" s="130"/>
      <c r="AF57" s="130"/>
      <c r="AG57" s="126"/>
      <c r="AH57" s="126"/>
      <c r="AI57" s="126"/>
      <c r="AJ57" s="126"/>
      <c r="AK57" s="126"/>
      <c r="AL57" s="126"/>
      <c r="AM57" s="130"/>
      <c r="AN57" s="130"/>
      <c r="AO57" s="130"/>
      <c r="AP57" s="130"/>
      <c r="AQ57" s="130"/>
      <c r="AR57" s="130"/>
      <c r="AS57" s="130"/>
      <c r="AT57" s="130"/>
      <c r="AU57" s="126"/>
      <c r="AV57" s="126"/>
      <c r="AW57" s="126"/>
      <c r="AX57" s="130"/>
      <c r="AY57" s="130"/>
      <c r="AZ57" s="130"/>
      <c r="BA57" s="130"/>
    </row>
    <row r="58" spans="1:54" s="60" customFormat="1" ht="75" x14ac:dyDescent="0.25">
      <c r="A58" s="194">
        <v>9</v>
      </c>
      <c r="B58" s="191" t="s">
        <v>258</v>
      </c>
      <c r="C58" s="178">
        <v>110</v>
      </c>
      <c r="D58" s="98" t="s">
        <v>125</v>
      </c>
      <c r="E58" s="98" t="s">
        <v>34</v>
      </c>
      <c r="F58" s="98">
        <v>12.57</v>
      </c>
      <c r="G58" s="57" t="s">
        <v>126</v>
      </c>
      <c r="H58" s="58">
        <v>1944</v>
      </c>
      <c r="I58" s="58">
        <v>24436.080000000002</v>
      </c>
      <c r="J58" s="58" t="s">
        <v>55</v>
      </c>
      <c r="K58" s="59">
        <v>1.05</v>
      </c>
      <c r="L58" s="58">
        <v>25657.884000000002</v>
      </c>
      <c r="M58" s="175">
        <f>L58+L59+L60+L61+L62+L63+L65+L64</f>
        <v>153996.57370000001</v>
      </c>
      <c r="N58" s="175">
        <f>M58*0.2</f>
        <v>30799.314740000002</v>
      </c>
      <c r="O58" s="175">
        <f>M58+N58</f>
        <v>184795.88844000001</v>
      </c>
      <c r="P58" s="185">
        <f>O58*R58*S58</f>
        <v>205814.20319938875</v>
      </c>
      <c r="Q58" s="185">
        <f>X58+Y58+Z58</f>
        <v>209421.97128117678</v>
      </c>
      <c r="R58" s="163">
        <v>1.0740000000000001</v>
      </c>
      <c r="S58" s="163">
        <v>1.0369999999999999</v>
      </c>
      <c r="T58" s="163">
        <v>1.0389999999999999</v>
      </c>
      <c r="U58" s="163">
        <v>1.042</v>
      </c>
      <c r="V58" s="163">
        <v>1.0429999999999999</v>
      </c>
      <c r="W58" s="163">
        <v>1.0429999999999999</v>
      </c>
      <c r="X58" s="175">
        <f>L65*1.2*R58</f>
        <v>7088.4000000000005</v>
      </c>
      <c r="Y58" s="175">
        <f>(L58+L59+L60+L61+L62+L63+L64)/2*1.2*R58*S58</f>
        <v>99231.766199694364</v>
      </c>
      <c r="Z58" s="175">
        <f>SUM(L58:L64)/2*1.2*R58*S58*T58</f>
        <v>103101.80508148244</v>
      </c>
      <c r="AA58" s="175">
        <v>0</v>
      </c>
      <c r="AB58" s="175">
        <v>0</v>
      </c>
      <c r="AC58" s="175">
        <v>0</v>
      </c>
      <c r="AD58" s="175">
        <f>O58</f>
        <v>184795.88844000001</v>
      </c>
      <c r="AE58" s="175">
        <f>AM58+AN58+AO58</f>
        <v>202565.08714533719</v>
      </c>
      <c r="AF58" s="175">
        <f>AM58+AN58+AO58+AP58+AQ58+AR58</f>
        <v>202565.08714533719</v>
      </c>
      <c r="AG58" s="163">
        <v>1.032</v>
      </c>
      <c r="AH58" s="163">
        <v>1.038</v>
      </c>
      <c r="AI58" s="163">
        <v>1.0509999999999999</v>
      </c>
      <c r="AJ58" s="163">
        <v>1.0429999999999999</v>
      </c>
      <c r="AK58" s="163">
        <v>1.042</v>
      </c>
      <c r="AL58" s="163">
        <v>1.0409999999999999</v>
      </c>
      <c r="AM58" s="175">
        <f>L65*1.2*AG58</f>
        <v>6811.2</v>
      </c>
      <c r="AN58" s="175">
        <f>SUM(L58:L64)*1.2*AG58*AH58*0.5</f>
        <v>95443.143415571525</v>
      </c>
      <c r="AO58" s="175">
        <f>SUM(L58:L64)*1.2*AG58*AH58*AI58*0.5</f>
        <v>100310.74372976567</v>
      </c>
      <c r="AP58" s="175">
        <v>0</v>
      </c>
      <c r="AQ58" s="175">
        <v>0</v>
      </c>
      <c r="AR58" s="175">
        <v>0</v>
      </c>
      <c r="AS58" s="175">
        <v>89097.944220000005</v>
      </c>
      <c r="AT58" s="175">
        <v>106320.16619969436</v>
      </c>
      <c r="AU58" s="163">
        <v>1.0740000000000001</v>
      </c>
      <c r="AV58" s="163">
        <v>1.0369999999999999</v>
      </c>
      <c r="AW58" s="163">
        <v>1.0389999999999999</v>
      </c>
      <c r="AX58" s="175">
        <v>7088.4000000000005</v>
      </c>
      <c r="AY58" s="175">
        <v>99231.766199694364</v>
      </c>
      <c r="AZ58" s="175">
        <v>85918.170901235353</v>
      </c>
      <c r="BA58" s="181">
        <f>AS9-O9</f>
        <v>0</v>
      </c>
      <c r="BB58" s="60">
        <f t="shared" ref="BB58:BB85" si="18">Q58/1.2</f>
        <v>174518.30940098065</v>
      </c>
    </row>
    <row r="59" spans="1:54" s="60" customFormat="1" ht="75" x14ac:dyDescent="0.25">
      <c r="A59" s="195"/>
      <c r="B59" s="192"/>
      <c r="C59" s="179"/>
      <c r="D59" s="98" t="s">
        <v>127</v>
      </c>
      <c r="E59" s="98" t="s">
        <v>45</v>
      </c>
      <c r="F59" s="98">
        <v>263.48</v>
      </c>
      <c r="G59" s="57" t="s">
        <v>126</v>
      </c>
      <c r="H59" s="58">
        <v>101</v>
      </c>
      <c r="I59" s="58">
        <v>26611.480000000003</v>
      </c>
      <c r="J59" s="58" t="s">
        <v>55</v>
      </c>
      <c r="K59" s="59">
        <v>1.05</v>
      </c>
      <c r="L59" s="58">
        <v>27942.054000000004</v>
      </c>
      <c r="M59" s="176"/>
      <c r="N59" s="176"/>
      <c r="O59" s="176"/>
      <c r="P59" s="186"/>
      <c r="Q59" s="186"/>
      <c r="R59" s="184"/>
      <c r="S59" s="184">
        <v>1</v>
      </c>
      <c r="T59" s="184"/>
      <c r="U59" s="184"/>
      <c r="V59" s="184"/>
      <c r="W59" s="184"/>
      <c r="X59" s="176"/>
      <c r="Y59" s="176"/>
      <c r="Z59" s="176"/>
      <c r="AA59" s="176"/>
      <c r="AB59" s="176"/>
      <c r="AC59" s="176"/>
      <c r="AD59" s="176"/>
      <c r="AE59" s="176"/>
      <c r="AF59" s="176"/>
      <c r="AG59" s="184"/>
      <c r="AH59" s="184"/>
      <c r="AI59" s="184"/>
      <c r="AJ59" s="184"/>
      <c r="AK59" s="184"/>
      <c r="AL59" s="184"/>
      <c r="AM59" s="176"/>
      <c r="AN59" s="176"/>
      <c r="AO59" s="176"/>
      <c r="AP59" s="176"/>
      <c r="AQ59" s="176"/>
      <c r="AR59" s="176"/>
      <c r="AS59" s="176"/>
      <c r="AT59" s="176"/>
      <c r="AU59" s="184"/>
      <c r="AV59" s="184"/>
      <c r="AW59" s="184"/>
      <c r="AX59" s="176"/>
      <c r="AY59" s="176"/>
      <c r="AZ59" s="176"/>
      <c r="BA59" s="182"/>
      <c r="BB59" s="60">
        <f t="shared" si="18"/>
        <v>0</v>
      </c>
    </row>
    <row r="60" spans="1:54" s="60" customFormat="1" ht="30" x14ac:dyDescent="0.25">
      <c r="A60" s="195"/>
      <c r="B60" s="192"/>
      <c r="C60" s="179"/>
      <c r="D60" s="98" t="s">
        <v>128</v>
      </c>
      <c r="E60" s="98" t="s">
        <v>34</v>
      </c>
      <c r="F60" s="98">
        <v>12.57</v>
      </c>
      <c r="G60" s="57" t="s">
        <v>129</v>
      </c>
      <c r="H60" s="58">
        <v>716</v>
      </c>
      <c r="I60" s="58">
        <v>9000.1200000000008</v>
      </c>
      <c r="J60" s="58" t="s">
        <v>55</v>
      </c>
      <c r="K60" s="59">
        <v>1.05</v>
      </c>
      <c r="L60" s="58">
        <v>9450.126000000002</v>
      </c>
      <c r="M60" s="176"/>
      <c r="N60" s="176"/>
      <c r="O60" s="176"/>
      <c r="P60" s="186"/>
      <c r="Q60" s="186"/>
      <c r="R60" s="184"/>
      <c r="S60" s="184"/>
      <c r="T60" s="184"/>
      <c r="U60" s="184"/>
      <c r="V60" s="184"/>
      <c r="W60" s="184"/>
      <c r="X60" s="176"/>
      <c r="Y60" s="176"/>
      <c r="Z60" s="176"/>
      <c r="AA60" s="176"/>
      <c r="AB60" s="176"/>
      <c r="AC60" s="176"/>
      <c r="AD60" s="176"/>
      <c r="AE60" s="176"/>
      <c r="AF60" s="176"/>
      <c r="AG60" s="184"/>
      <c r="AH60" s="184"/>
      <c r="AI60" s="184"/>
      <c r="AJ60" s="184"/>
      <c r="AK60" s="184"/>
      <c r="AL60" s="184"/>
      <c r="AM60" s="176"/>
      <c r="AN60" s="176"/>
      <c r="AO60" s="176"/>
      <c r="AP60" s="176"/>
      <c r="AQ60" s="176"/>
      <c r="AR60" s="176"/>
      <c r="AS60" s="176"/>
      <c r="AT60" s="176"/>
      <c r="AU60" s="184"/>
      <c r="AV60" s="184"/>
      <c r="AW60" s="184"/>
      <c r="AX60" s="176"/>
      <c r="AY60" s="176"/>
      <c r="AZ60" s="176"/>
      <c r="BA60" s="182"/>
      <c r="BB60" s="60">
        <f t="shared" si="18"/>
        <v>0</v>
      </c>
    </row>
    <row r="61" spans="1:54" s="60" customFormat="1" x14ac:dyDescent="0.25">
      <c r="A61" s="195"/>
      <c r="B61" s="192"/>
      <c r="C61" s="179"/>
      <c r="D61" s="98" t="s">
        <v>130</v>
      </c>
      <c r="E61" s="98" t="s">
        <v>34</v>
      </c>
      <c r="F61" s="98">
        <v>13.44</v>
      </c>
      <c r="G61" s="57" t="s">
        <v>131</v>
      </c>
      <c r="H61" s="58">
        <v>388</v>
      </c>
      <c r="I61" s="58">
        <v>5214.72</v>
      </c>
      <c r="J61" s="58" t="s">
        <v>55</v>
      </c>
      <c r="K61" s="59">
        <v>1.05</v>
      </c>
      <c r="L61" s="58">
        <v>5475.4560000000001</v>
      </c>
      <c r="M61" s="176"/>
      <c r="N61" s="176"/>
      <c r="O61" s="176"/>
      <c r="P61" s="186"/>
      <c r="Q61" s="186"/>
      <c r="R61" s="184"/>
      <c r="S61" s="184"/>
      <c r="T61" s="184"/>
      <c r="U61" s="184"/>
      <c r="V61" s="184"/>
      <c r="W61" s="184"/>
      <c r="X61" s="176"/>
      <c r="Y61" s="176"/>
      <c r="Z61" s="176"/>
      <c r="AA61" s="176"/>
      <c r="AB61" s="176"/>
      <c r="AC61" s="176"/>
      <c r="AD61" s="176"/>
      <c r="AE61" s="176"/>
      <c r="AF61" s="176"/>
      <c r="AG61" s="184"/>
      <c r="AH61" s="184"/>
      <c r="AI61" s="184"/>
      <c r="AJ61" s="184"/>
      <c r="AK61" s="184"/>
      <c r="AL61" s="184"/>
      <c r="AM61" s="176"/>
      <c r="AN61" s="176"/>
      <c r="AO61" s="176"/>
      <c r="AP61" s="176"/>
      <c r="AQ61" s="176"/>
      <c r="AR61" s="176"/>
      <c r="AS61" s="176"/>
      <c r="AT61" s="176"/>
      <c r="AU61" s="184"/>
      <c r="AV61" s="184"/>
      <c r="AW61" s="184"/>
      <c r="AX61" s="176"/>
      <c r="AY61" s="176"/>
      <c r="AZ61" s="176"/>
      <c r="BA61" s="182"/>
      <c r="BB61" s="60">
        <f t="shared" si="18"/>
        <v>0</v>
      </c>
    </row>
    <row r="62" spans="1:54" s="60" customFormat="1" ht="75" x14ac:dyDescent="0.25">
      <c r="A62" s="195"/>
      <c r="B62" s="192"/>
      <c r="C62" s="179"/>
      <c r="D62" s="98" t="s">
        <v>132</v>
      </c>
      <c r="E62" s="98" t="s">
        <v>49</v>
      </c>
      <c r="F62" s="98">
        <v>62.85</v>
      </c>
      <c r="G62" s="57" t="s">
        <v>51</v>
      </c>
      <c r="H62" s="58">
        <v>261</v>
      </c>
      <c r="I62" s="58">
        <v>16403.850000000002</v>
      </c>
      <c r="J62" s="58" t="s">
        <v>36</v>
      </c>
      <c r="K62" s="59" t="s">
        <v>36</v>
      </c>
      <c r="L62" s="58">
        <v>16403.850000000002</v>
      </c>
      <c r="M62" s="176"/>
      <c r="N62" s="176"/>
      <c r="O62" s="176"/>
      <c r="P62" s="186"/>
      <c r="Q62" s="186"/>
      <c r="R62" s="184"/>
      <c r="S62" s="184"/>
      <c r="T62" s="184"/>
      <c r="U62" s="184"/>
      <c r="V62" s="184"/>
      <c r="W62" s="184"/>
      <c r="X62" s="176"/>
      <c r="Y62" s="176"/>
      <c r="Z62" s="176"/>
      <c r="AA62" s="176"/>
      <c r="AB62" s="176"/>
      <c r="AC62" s="176"/>
      <c r="AD62" s="176"/>
      <c r="AE62" s="176"/>
      <c r="AF62" s="176"/>
      <c r="AG62" s="184"/>
      <c r="AH62" s="184"/>
      <c r="AI62" s="184"/>
      <c r="AJ62" s="184"/>
      <c r="AK62" s="184"/>
      <c r="AL62" s="184"/>
      <c r="AM62" s="176"/>
      <c r="AN62" s="176"/>
      <c r="AO62" s="176"/>
      <c r="AP62" s="176"/>
      <c r="AQ62" s="176"/>
      <c r="AR62" s="176"/>
      <c r="AS62" s="176"/>
      <c r="AT62" s="176"/>
      <c r="AU62" s="184"/>
      <c r="AV62" s="184"/>
      <c r="AW62" s="184"/>
      <c r="AX62" s="176"/>
      <c r="AY62" s="176"/>
      <c r="AZ62" s="176"/>
      <c r="BA62" s="182"/>
      <c r="BB62" s="60">
        <f t="shared" si="18"/>
        <v>0</v>
      </c>
    </row>
    <row r="63" spans="1:54" s="60" customFormat="1" x14ac:dyDescent="0.25">
      <c r="A63" s="195"/>
      <c r="B63" s="192"/>
      <c r="C63" s="179"/>
      <c r="D63" s="98" t="s">
        <v>134</v>
      </c>
      <c r="E63" s="98">
        <v>100</v>
      </c>
      <c r="F63" s="98">
        <v>3</v>
      </c>
      <c r="G63" s="57"/>
      <c r="H63" s="58">
        <v>6.9</v>
      </c>
      <c r="I63" s="58">
        <v>20.700000000000003</v>
      </c>
      <c r="J63" s="58" t="s">
        <v>36</v>
      </c>
      <c r="K63" s="59" t="s">
        <v>36</v>
      </c>
      <c r="L63" s="58">
        <v>20.700000000000003</v>
      </c>
      <c r="M63" s="176"/>
      <c r="N63" s="176"/>
      <c r="O63" s="176"/>
      <c r="P63" s="186"/>
      <c r="Q63" s="186"/>
      <c r="R63" s="184"/>
      <c r="S63" s="184"/>
      <c r="T63" s="184"/>
      <c r="U63" s="184"/>
      <c r="V63" s="184"/>
      <c r="W63" s="184"/>
      <c r="X63" s="176"/>
      <c r="Y63" s="176"/>
      <c r="Z63" s="176"/>
      <c r="AA63" s="176"/>
      <c r="AB63" s="176"/>
      <c r="AC63" s="176"/>
      <c r="AD63" s="176"/>
      <c r="AE63" s="176"/>
      <c r="AF63" s="176"/>
      <c r="AG63" s="184"/>
      <c r="AH63" s="184"/>
      <c r="AI63" s="184"/>
      <c r="AJ63" s="184"/>
      <c r="AK63" s="184"/>
      <c r="AL63" s="184"/>
      <c r="AM63" s="176"/>
      <c r="AN63" s="176"/>
      <c r="AO63" s="176"/>
      <c r="AP63" s="176"/>
      <c r="AQ63" s="176"/>
      <c r="AR63" s="176"/>
      <c r="AS63" s="176"/>
      <c r="AT63" s="176"/>
      <c r="AU63" s="184"/>
      <c r="AV63" s="184"/>
      <c r="AW63" s="184"/>
      <c r="AX63" s="176"/>
      <c r="AY63" s="176"/>
      <c r="AZ63" s="176"/>
      <c r="BA63" s="182"/>
      <c r="BB63" s="60">
        <f t="shared" si="18"/>
        <v>0</v>
      </c>
    </row>
    <row r="64" spans="1:54" s="60" customFormat="1" ht="75" x14ac:dyDescent="0.25">
      <c r="A64" s="195"/>
      <c r="B64" s="192"/>
      <c r="C64" s="179"/>
      <c r="D64" s="78" t="s">
        <v>214</v>
      </c>
      <c r="E64" s="47" t="s">
        <v>34</v>
      </c>
      <c r="F64" s="78">
        <v>12.57</v>
      </c>
      <c r="G64" s="57" t="s">
        <v>126</v>
      </c>
      <c r="H64" s="58">
        <v>2267</v>
      </c>
      <c r="I64" s="58">
        <f t="shared" ref="I64" si="19">F64*H64</f>
        <v>28496.190000000002</v>
      </c>
      <c r="J64" s="58" t="s">
        <v>225</v>
      </c>
      <c r="K64" s="59">
        <v>2.23</v>
      </c>
      <c r="L64" s="58">
        <f>I64*K64</f>
        <v>63546.503700000001</v>
      </c>
      <c r="M64" s="176"/>
      <c r="N64" s="176"/>
      <c r="O64" s="176"/>
      <c r="P64" s="186"/>
      <c r="Q64" s="186"/>
      <c r="R64" s="184"/>
      <c r="S64" s="184"/>
      <c r="T64" s="184"/>
      <c r="U64" s="184"/>
      <c r="V64" s="184"/>
      <c r="W64" s="184"/>
      <c r="X64" s="176"/>
      <c r="Y64" s="176"/>
      <c r="Z64" s="176"/>
      <c r="AA64" s="176"/>
      <c r="AB64" s="176"/>
      <c r="AC64" s="176"/>
      <c r="AD64" s="176"/>
      <c r="AE64" s="176"/>
      <c r="AF64" s="176"/>
      <c r="AG64" s="184"/>
      <c r="AH64" s="184"/>
      <c r="AI64" s="184"/>
      <c r="AJ64" s="184"/>
      <c r="AK64" s="184"/>
      <c r="AL64" s="184"/>
      <c r="AM64" s="176"/>
      <c r="AN64" s="176"/>
      <c r="AO64" s="176"/>
      <c r="AP64" s="176"/>
      <c r="AQ64" s="176"/>
      <c r="AR64" s="176"/>
      <c r="AS64" s="176"/>
      <c r="AT64" s="176"/>
      <c r="AU64" s="184"/>
      <c r="AV64" s="184"/>
      <c r="AW64" s="184"/>
      <c r="AX64" s="176"/>
      <c r="AY64" s="176"/>
      <c r="AZ64" s="176"/>
      <c r="BA64" s="182"/>
    </row>
    <row r="65" spans="1:55" s="60" customFormat="1" ht="30" x14ac:dyDescent="0.25">
      <c r="A65" s="196"/>
      <c r="B65" s="193"/>
      <c r="C65" s="180"/>
      <c r="D65" s="98" t="s">
        <v>174</v>
      </c>
      <c r="E65" s="98" t="s">
        <v>41</v>
      </c>
      <c r="F65" s="98">
        <v>1</v>
      </c>
      <c r="G65" s="57" t="s">
        <v>175</v>
      </c>
      <c r="H65" s="58">
        <v>5500</v>
      </c>
      <c r="I65" s="58">
        <v>5500</v>
      </c>
      <c r="J65" s="58" t="s">
        <v>36</v>
      </c>
      <c r="K65" s="59"/>
      <c r="L65" s="58">
        <v>5500</v>
      </c>
      <c r="M65" s="177"/>
      <c r="N65" s="177"/>
      <c r="O65" s="177"/>
      <c r="P65" s="187"/>
      <c r="Q65" s="187"/>
      <c r="R65" s="164"/>
      <c r="S65" s="164"/>
      <c r="T65" s="164"/>
      <c r="U65" s="164"/>
      <c r="V65" s="164"/>
      <c r="W65" s="164"/>
      <c r="X65" s="177"/>
      <c r="Y65" s="177"/>
      <c r="Z65" s="177"/>
      <c r="AA65" s="177"/>
      <c r="AB65" s="177"/>
      <c r="AC65" s="177"/>
      <c r="AD65" s="177"/>
      <c r="AE65" s="177"/>
      <c r="AF65" s="177"/>
      <c r="AG65" s="164"/>
      <c r="AH65" s="164"/>
      <c r="AI65" s="164"/>
      <c r="AJ65" s="164"/>
      <c r="AK65" s="164"/>
      <c r="AL65" s="164"/>
      <c r="AM65" s="177"/>
      <c r="AN65" s="177"/>
      <c r="AO65" s="177"/>
      <c r="AP65" s="177"/>
      <c r="AQ65" s="177"/>
      <c r="AR65" s="177"/>
      <c r="AS65" s="177"/>
      <c r="AT65" s="177"/>
      <c r="AU65" s="164"/>
      <c r="AV65" s="164"/>
      <c r="AW65" s="164"/>
      <c r="AX65" s="177"/>
      <c r="AY65" s="177"/>
      <c r="AZ65" s="177"/>
      <c r="BA65" s="183"/>
      <c r="BB65" s="60">
        <f t="shared" si="18"/>
        <v>0</v>
      </c>
    </row>
    <row r="66" spans="1:55" ht="41.25" customHeight="1" x14ac:dyDescent="0.25">
      <c r="A66" s="78">
        <v>10</v>
      </c>
      <c r="B66" s="94" t="s">
        <v>255</v>
      </c>
      <c r="C66" s="77">
        <v>10</v>
      </c>
      <c r="D66" s="78" t="s">
        <v>90</v>
      </c>
      <c r="E66" s="48" t="s">
        <v>33</v>
      </c>
      <c r="F66" s="78">
        <v>2</v>
      </c>
      <c r="G66" s="49" t="s">
        <v>91</v>
      </c>
      <c r="H66" s="81">
        <v>7166</v>
      </c>
      <c r="I66" s="81">
        <f t="shared" ref="I66:I67" si="20">F66*H66</f>
        <v>14332</v>
      </c>
      <c r="J66" s="48" t="s">
        <v>92</v>
      </c>
      <c r="K66" s="50">
        <v>1.05</v>
      </c>
      <c r="L66" s="81">
        <f t="shared" ref="L66" si="21">I66*K66</f>
        <v>15048.6</v>
      </c>
      <c r="M66" s="81">
        <f>L66</f>
        <v>15048.6</v>
      </c>
      <c r="N66" s="81">
        <f>M66*0.2</f>
        <v>3009.7200000000003</v>
      </c>
      <c r="O66" s="81">
        <v>18058.32</v>
      </c>
      <c r="P66" s="81">
        <f>O66*R66*S66</f>
        <v>20597.10309216</v>
      </c>
      <c r="Q66" s="81">
        <f>P66</f>
        <v>20597.10309216</v>
      </c>
      <c r="R66" s="82">
        <v>1.0740000000000001</v>
      </c>
      <c r="S66" s="82">
        <v>1.0620000000000001</v>
      </c>
      <c r="T66" s="82">
        <v>1.0509999999999999</v>
      </c>
      <c r="U66" s="82">
        <v>1.048</v>
      </c>
      <c r="V66" s="82">
        <v>1.0469999999999999</v>
      </c>
      <c r="W66" s="82">
        <v>1.0469999999999999</v>
      </c>
      <c r="X66" s="81">
        <v>0</v>
      </c>
      <c r="Y66" s="81">
        <f>Q66</f>
        <v>20597.10309216</v>
      </c>
      <c r="Z66" s="81">
        <v>0</v>
      </c>
      <c r="AA66" s="81">
        <v>0</v>
      </c>
      <c r="AB66" s="81">
        <v>0</v>
      </c>
      <c r="AC66" s="81">
        <v>0</v>
      </c>
      <c r="AD66" s="81">
        <f>L66*1.2</f>
        <v>18058.32</v>
      </c>
      <c r="AE66" s="81">
        <f>AD66*AG66*AH66</f>
        <v>20366.317762560004</v>
      </c>
      <c r="AF66" s="81">
        <f>AM66+AN66+AO66+AP66+AQ66+AR66</f>
        <v>20366.317762560004</v>
      </c>
      <c r="AG66" s="82">
        <v>1.0680000000000001</v>
      </c>
      <c r="AH66" s="82">
        <v>1.056</v>
      </c>
      <c r="AI66" s="82">
        <v>1.054</v>
      </c>
      <c r="AJ66" s="82">
        <v>1.0509999999999999</v>
      </c>
      <c r="AK66" s="82">
        <v>1.0489999999999999</v>
      </c>
      <c r="AL66" s="82">
        <v>1.0469999999999999</v>
      </c>
      <c r="AM66" s="81">
        <v>0</v>
      </c>
      <c r="AN66" s="81">
        <f>AD66*AG66*AH66</f>
        <v>20366.317762560004</v>
      </c>
      <c r="AO66" s="81">
        <v>0</v>
      </c>
      <c r="AP66" s="81">
        <v>0</v>
      </c>
      <c r="AQ66" s="81">
        <v>0</v>
      </c>
      <c r="AR66" s="81">
        <v>0</v>
      </c>
      <c r="AS66" s="81">
        <v>18058.32</v>
      </c>
      <c r="AT66" s="81">
        <v>20597.10309216</v>
      </c>
      <c r="AU66" s="82">
        <v>1.0740000000000001</v>
      </c>
      <c r="AV66" s="82">
        <v>1.0369999999999999</v>
      </c>
      <c r="AW66" s="82">
        <v>1.0389999999999999</v>
      </c>
      <c r="AX66" s="81">
        <v>0</v>
      </c>
      <c r="AY66" s="81">
        <v>20597.10309216</v>
      </c>
      <c r="AZ66" s="44">
        <v>0</v>
      </c>
      <c r="BA66" s="84">
        <f>AS66-O66</f>
        <v>0</v>
      </c>
      <c r="BB66" s="31">
        <f t="shared" si="18"/>
        <v>17164.252576800001</v>
      </c>
    </row>
    <row r="67" spans="1:55" ht="60" customHeight="1" x14ac:dyDescent="0.25">
      <c r="A67" s="89">
        <v>11</v>
      </c>
      <c r="B67" s="93" t="s">
        <v>256</v>
      </c>
      <c r="C67" s="76">
        <v>110</v>
      </c>
      <c r="D67" s="78" t="s">
        <v>93</v>
      </c>
      <c r="E67" s="47" t="s">
        <v>33</v>
      </c>
      <c r="F67" s="78">
        <v>1</v>
      </c>
      <c r="G67" s="49" t="s">
        <v>94</v>
      </c>
      <c r="H67" s="81">
        <v>58303</v>
      </c>
      <c r="I67" s="81">
        <f t="shared" si="20"/>
        <v>58303</v>
      </c>
      <c r="J67" s="47" t="s">
        <v>92</v>
      </c>
      <c r="K67" s="47">
        <v>1.05</v>
      </c>
      <c r="L67" s="87">
        <f>I67*K67</f>
        <v>61218.15</v>
      </c>
      <c r="M67" s="87">
        <f>L67</f>
        <v>61218.15</v>
      </c>
      <c r="N67" s="81">
        <f>M67*0.2</f>
        <v>12243.630000000001</v>
      </c>
      <c r="O67" s="81">
        <v>73461.78</v>
      </c>
      <c r="P67" s="81">
        <f>O67*R67*S67</f>
        <v>83789.624726640002</v>
      </c>
      <c r="Q67" s="81">
        <f>P67</f>
        <v>83789.624726640002</v>
      </c>
      <c r="R67" s="86">
        <v>1.0740000000000001</v>
      </c>
      <c r="S67" s="86">
        <v>1.0620000000000001</v>
      </c>
      <c r="T67" s="86">
        <v>1.0509999999999999</v>
      </c>
      <c r="U67" s="86">
        <v>1.048</v>
      </c>
      <c r="V67" s="86">
        <v>1.0469999999999999</v>
      </c>
      <c r="W67" s="86">
        <v>1.0469999999999999</v>
      </c>
      <c r="X67" s="81">
        <v>0</v>
      </c>
      <c r="Y67" s="87">
        <f>Q67</f>
        <v>83789.624726640002</v>
      </c>
      <c r="Z67" s="87">
        <v>0</v>
      </c>
      <c r="AA67" s="87">
        <v>0</v>
      </c>
      <c r="AB67" s="87">
        <v>0</v>
      </c>
      <c r="AC67" s="87">
        <v>0</v>
      </c>
      <c r="AD67" s="87">
        <f>L67*1.2</f>
        <v>73461.78</v>
      </c>
      <c r="AE67" s="87">
        <f>AD67*AG67*AH67</f>
        <v>82850.783178240017</v>
      </c>
      <c r="AF67" s="87">
        <f>AM67+AN67+AO67+AP67+AQ67+AR67</f>
        <v>82850.783178240017</v>
      </c>
      <c r="AG67" s="86">
        <v>1.0680000000000001</v>
      </c>
      <c r="AH67" s="86">
        <v>1.056</v>
      </c>
      <c r="AI67" s="86">
        <v>1.054</v>
      </c>
      <c r="AJ67" s="86">
        <v>1.0509999999999999</v>
      </c>
      <c r="AK67" s="86">
        <v>1.0489999999999999</v>
      </c>
      <c r="AL67" s="86">
        <v>1.0469999999999999</v>
      </c>
      <c r="AM67" s="87">
        <v>0</v>
      </c>
      <c r="AN67" s="87">
        <f>AD67*AG67*AH67</f>
        <v>82850.783178240017</v>
      </c>
      <c r="AO67" s="87">
        <v>0</v>
      </c>
      <c r="AP67" s="87">
        <v>0</v>
      </c>
      <c r="AQ67" s="87">
        <v>0</v>
      </c>
      <c r="AR67" s="87">
        <v>0</v>
      </c>
      <c r="AS67" s="87">
        <v>73461.78</v>
      </c>
      <c r="AT67" s="87">
        <v>83789.624726640002</v>
      </c>
      <c r="AU67" s="82">
        <v>1.0740000000000001</v>
      </c>
      <c r="AV67" s="82">
        <v>1.0369999999999999</v>
      </c>
      <c r="AW67" s="82">
        <v>1.0389999999999999</v>
      </c>
      <c r="AX67" s="81">
        <v>0</v>
      </c>
      <c r="AY67" s="81">
        <v>83789.624726640002</v>
      </c>
      <c r="AZ67" s="44">
        <v>0</v>
      </c>
      <c r="BA67" s="84">
        <f>AS67-O67</f>
        <v>0</v>
      </c>
      <c r="BB67" s="31">
        <f t="shared" si="18"/>
        <v>69824.687272200012</v>
      </c>
    </row>
    <row r="68" spans="1:55" ht="81" customHeight="1" x14ac:dyDescent="0.25">
      <c r="A68" s="102">
        <v>12</v>
      </c>
      <c r="B68" s="132" t="s">
        <v>257</v>
      </c>
      <c r="C68" s="108">
        <v>110</v>
      </c>
      <c r="D68" s="89" t="s">
        <v>127</v>
      </c>
      <c r="E68" s="47" t="s">
        <v>45</v>
      </c>
      <c r="F68" s="89">
        <v>179</v>
      </c>
      <c r="G68" s="29" t="s">
        <v>126</v>
      </c>
      <c r="H68" s="87">
        <v>101</v>
      </c>
      <c r="I68" s="87">
        <v>18079</v>
      </c>
      <c r="J68" s="47" t="s">
        <v>55</v>
      </c>
      <c r="K68" s="47">
        <v>1.05</v>
      </c>
      <c r="L68" s="87">
        <v>18983</v>
      </c>
      <c r="M68" s="128">
        <f>SUM(L68:L72)</f>
        <v>48671.833500000001</v>
      </c>
      <c r="N68" s="128">
        <f>M68*0.2</f>
        <v>9734.3667000000005</v>
      </c>
      <c r="O68" s="128">
        <v>58406.200199999999</v>
      </c>
      <c r="P68" s="200">
        <f>O68*R68</f>
        <v>62728.259014800002</v>
      </c>
      <c r="Q68" s="200">
        <f>P68*S68</f>
        <v>65049.204598347598</v>
      </c>
      <c r="R68" s="124">
        <v>1.0740000000000001</v>
      </c>
      <c r="S68" s="124">
        <v>1.0369999999999999</v>
      </c>
      <c r="T68" s="124">
        <v>1.0389999999999999</v>
      </c>
      <c r="U68" s="124">
        <v>1.042</v>
      </c>
      <c r="V68" s="124">
        <v>1.0429999999999999</v>
      </c>
      <c r="W68" s="124">
        <v>1.0429999999999999</v>
      </c>
      <c r="X68" s="128">
        <v>0</v>
      </c>
      <c r="Y68" s="128">
        <f>Q68</f>
        <v>65049.204598347598</v>
      </c>
      <c r="Z68" s="128">
        <v>0</v>
      </c>
      <c r="AA68" s="128">
        <v>0</v>
      </c>
      <c r="AB68" s="129">
        <v>0</v>
      </c>
      <c r="AC68" s="129">
        <v>0</v>
      </c>
      <c r="AD68" s="128">
        <f>(L68+L69+L70+L71+L72)*1.2</f>
        <v>58406.200199999999</v>
      </c>
      <c r="AE68" s="128">
        <f>AD68*AG68*AH68</f>
        <v>62565.656153443204</v>
      </c>
      <c r="AF68" s="128">
        <f>AM68+AN68+AO68+AP68+AQ68+AR68</f>
        <v>62565.656153443204</v>
      </c>
      <c r="AG68" s="124">
        <v>1.032</v>
      </c>
      <c r="AH68" s="124">
        <v>1.038</v>
      </c>
      <c r="AI68" s="124">
        <v>1.0509999999999999</v>
      </c>
      <c r="AJ68" s="124">
        <v>1.0429999999999999</v>
      </c>
      <c r="AK68" s="124">
        <v>1.042</v>
      </c>
      <c r="AL68" s="124">
        <v>1.0409999999999999</v>
      </c>
      <c r="AM68" s="128">
        <v>0</v>
      </c>
      <c r="AN68" s="128">
        <f>AD68*AG68*AH68</f>
        <v>62565.656153443204</v>
      </c>
      <c r="AO68" s="128">
        <v>0</v>
      </c>
      <c r="AP68" s="128">
        <v>0</v>
      </c>
      <c r="AQ68" s="128">
        <v>0</v>
      </c>
      <c r="AR68" s="128">
        <v>0</v>
      </c>
      <c r="AS68" s="129">
        <v>58406.200199999999</v>
      </c>
      <c r="AT68" s="129">
        <v>65049.204598347598</v>
      </c>
      <c r="AU68" s="124">
        <v>1.0740000000000001</v>
      </c>
      <c r="AV68" s="124">
        <v>1.0369999999999999</v>
      </c>
      <c r="AW68" s="124">
        <v>1.0389999999999999</v>
      </c>
      <c r="AX68" s="128">
        <v>0</v>
      </c>
      <c r="AY68" s="128">
        <v>65049.204598347598</v>
      </c>
      <c r="AZ68" s="128">
        <v>0</v>
      </c>
      <c r="BA68" s="127">
        <f>AS9-O9</f>
        <v>0</v>
      </c>
      <c r="BB68" s="31">
        <f t="shared" si="18"/>
        <v>54207.670498623003</v>
      </c>
    </row>
    <row r="69" spans="1:55" ht="45" customHeight="1" x14ac:dyDescent="0.25">
      <c r="A69" s="114"/>
      <c r="B69" s="133"/>
      <c r="C69" s="117"/>
      <c r="D69" s="89" t="s">
        <v>135</v>
      </c>
      <c r="E69" s="89" t="s">
        <v>34</v>
      </c>
      <c r="F69" s="89">
        <v>3.69</v>
      </c>
      <c r="G69" s="29" t="s">
        <v>136</v>
      </c>
      <c r="H69" s="87">
        <v>583</v>
      </c>
      <c r="I69" s="87">
        <f t="shared" ref="I69" si="22">F69*H69</f>
        <v>2151.27</v>
      </c>
      <c r="J69" s="87" t="s">
        <v>55</v>
      </c>
      <c r="K69" s="30">
        <v>1.05</v>
      </c>
      <c r="L69" s="87">
        <f>I69*K69</f>
        <v>2258.8335000000002</v>
      </c>
      <c r="M69" s="129"/>
      <c r="N69" s="129"/>
      <c r="O69" s="129"/>
      <c r="P69" s="201"/>
      <c r="Q69" s="201"/>
      <c r="R69" s="125"/>
      <c r="S69" s="125"/>
      <c r="T69" s="125"/>
      <c r="U69" s="125"/>
      <c r="V69" s="125"/>
      <c r="W69" s="125"/>
      <c r="X69" s="129"/>
      <c r="Y69" s="129"/>
      <c r="Z69" s="129"/>
      <c r="AA69" s="129"/>
      <c r="AB69" s="129"/>
      <c r="AC69" s="129"/>
      <c r="AD69" s="129"/>
      <c r="AE69" s="129"/>
      <c r="AF69" s="129"/>
      <c r="AG69" s="125"/>
      <c r="AH69" s="125"/>
      <c r="AI69" s="125"/>
      <c r="AJ69" s="125"/>
      <c r="AK69" s="125"/>
      <c r="AL69" s="125"/>
      <c r="AM69" s="129"/>
      <c r="AN69" s="129"/>
      <c r="AO69" s="129"/>
      <c r="AP69" s="129"/>
      <c r="AQ69" s="129"/>
      <c r="AR69" s="129"/>
      <c r="AS69" s="129"/>
      <c r="AT69" s="129"/>
      <c r="AU69" s="125"/>
      <c r="AV69" s="125"/>
      <c r="AW69" s="125"/>
      <c r="AX69" s="129"/>
      <c r="AY69" s="129"/>
      <c r="AZ69" s="129"/>
      <c r="BA69" s="127"/>
      <c r="BB69" s="31">
        <f t="shared" si="18"/>
        <v>0</v>
      </c>
    </row>
    <row r="70" spans="1:55" ht="80.25" customHeight="1" x14ac:dyDescent="0.25">
      <c r="A70" s="114"/>
      <c r="B70" s="133"/>
      <c r="C70" s="117"/>
      <c r="D70" s="89" t="s">
        <v>137</v>
      </c>
      <c r="E70" s="47" t="s">
        <v>34</v>
      </c>
      <c r="F70" s="89">
        <v>3.69</v>
      </c>
      <c r="G70" s="29" t="s">
        <v>138</v>
      </c>
      <c r="H70" s="87">
        <v>669</v>
      </c>
      <c r="I70" s="87">
        <v>2469</v>
      </c>
      <c r="J70" s="47" t="s">
        <v>55</v>
      </c>
      <c r="K70" s="47">
        <v>1.05</v>
      </c>
      <c r="L70" s="87">
        <v>2592</v>
      </c>
      <c r="M70" s="129"/>
      <c r="N70" s="129"/>
      <c r="O70" s="129"/>
      <c r="P70" s="201"/>
      <c r="Q70" s="201"/>
      <c r="R70" s="125"/>
      <c r="S70" s="125"/>
      <c r="T70" s="125"/>
      <c r="U70" s="125"/>
      <c r="V70" s="125"/>
      <c r="W70" s="125"/>
      <c r="X70" s="129"/>
      <c r="Y70" s="129"/>
      <c r="Z70" s="129"/>
      <c r="AA70" s="129" t="s">
        <v>183</v>
      </c>
      <c r="AB70" s="129" t="s">
        <v>183</v>
      </c>
      <c r="AC70" s="129" t="s">
        <v>183</v>
      </c>
      <c r="AD70" s="129"/>
      <c r="AE70" s="129"/>
      <c r="AF70" s="129"/>
      <c r="AG70" s="125"/>
      <c r="AH70" s="125"/>
      <c r="AI70" s="125"/>
      <c r="AJ70" s="125"/>
      <c r="AK70" s="125"/>
      <c r="AL70" s="125"/>
      <c r="AM70" s="129"/>
      <c r="AN70" s="129"/>
      <c r="AO70" s="129"/>
      <c r="AP70" s="129"/>
      <c r="AQ70" s="129"/>
      <c r="AR70" s="129"/>
      <c r="AS70" s="129"/>
      <c r="AT70" s="129"/>
      <c r="AU70" s="125"/>
      <c r="AV70" s="125"/>
      <c r="AW70" s="125"/>
      <c r="AX70" s="129"/>
      <c r="AY70" s="129"/>
      <c r="AZ70" s="129"/>
      <c r="BA70" s="127"/>
      <c r="BB70" s="31">
        <f t="shared" si="18"/>
        <v>0</v>
      </c>
    </row>
    <row r="71" spans="1:55" ht="78.75" customHeight="1" x14ac:dyDescent="0.25">
      <c r="A71" s="114"/>
      <c r="B71" s="133"/>
      <c r="C71" s="117"/>
      <c r="D71" s="89" t="s">
        <v>139</v>
      </c>
      <c r="E71" s="47" t="s">
        <v>34</v>
      </c>
      <c r="F71" s="89">
        <v>3.69</v>
      </c>
      <c r="G71" s="29" t="s">
        <v>126</v>
      </c>
      <c r="H71" s="87">
        <v>2158</v>
      </c>
      <c r="I71" s="87">
        <v>7963</v>
      </c>
      <c r="J71" s="47" t="s">
        <v>133</v>
      </c>
      <c r="K71" s="47">
        <v>1.59</v>
      </c>
      <c r="L71" s="87">
        <v>12661</v>
      </c>
      <c r="M71" s="129"/>
      <c r="N71" s="129"/>
      <c r="O71" s="129"/>
      <c r="P71" s="201"/>
      <c r="Q71" s="201"/>
      <c r="R71" s="125"/>
      <c r="S71" s="125"/>
      <c r="T71" s="125"/>
      <c r="U71" s="125"/>
      <c r="V71" s="125"/>
      <c r="W71" s="125"/>
      <c r="X71" s="129"/>
      <c r="Y71" s="129"/>
      <c r="Z71" s="129"/>
      <c r="AA71" s="129"/>
      <c r="AB71" s="129"/>
      <c r="AC71" s="129"/>
      <c r="AD71" s="129"/>
      <c r="AE71" s="129"/>
      <c r="AF71" s="129"/>
      <c r="AG71" s="125"/>
      <c r="AH71" s="125"/>
      <c r="AI71" s="125"/>
      <c r="AJ71" s="125"/>
      <c r="AK71" s="125"/>
      <c r="AL71" s="125"/>
      <c r="AM71" s="129"/>
      <c r="AN71" s="129"/>
      <c r="AO71" s="129"/>
      <c r="AP71" s="129"/>
      <c r="AQ71" s="129"/>
      <c r="AR71" s="129"/>
      <c r="AS71" s="129"/>
      <c r="AT71" s="129"/>
      <c r="AU71" s="125"/>
      <c r="AV71" s="125"/>
      <c r="AW71" s="125"/>
      <c r="AX71" s="129"/>
      <c r="AY71" s="129"/>
      <c r="AZ71" s="129"/>
      <c r="BA71" s="127"/>
      <c r="BB71" s="31">
        <f t="shared" si="18"/>
        <v>0</v>
      </c>
      <c r="BC71" s="37"/>
    </row>
    <row r="72" spans="1:55" ht="45.75" customHeight="1" x14ac:dyDescent="0.25">
      <c r="A72" s="114"/>
      <c r="B72" s="133"/>
      <c r="C72" s="117"/>
      <c r="D72" s="75" t="s">
        <v>140</v>
      </c>
      <c r="E72" s="51" t="s">
        <v>41</v>
      </c>
      <c r="F72" s="75">
        <v>3.69</v>
      </c>
      <c r="G72" s="52" t="s">
        <v>141</v>
      </c>
      <c r="H72" s="80">
        <v>3300</v>
      </c>
      <c r="I72" s="80">
        <v>12177</v>
      </c>
      <c r="J72" s="51" t="s">
        <v>36</v>
      </c>
      <c r="K72" s="51" t="s">
        <v>36</v>
      </c>
      <c r="L72" s="80">
        <v>12177</v>
      </c>
      <c r="M72" s="129"/>
      <c r="N72" s="129"/>
      <c r="O72" s="129"/>
      <c r="P72" s="202"/>
      <c r="Q72" s="202"/>
      <c r="R72" s="126"/>
      <c r="S72" s="126"/>
      <c r="T72" s="126"/>
      <c r="U72" s="126"/>
      <c r="V72" s="126"/>
      <c r="W72" s="126"/>
      <c r="X72" s="130"/>
      <c r="Y72" s="130"/>
      <c r="Z72" s="130"/>
      <c r="AA72" s="130"/>
      <c r="AB72" s="129"/>
      <c r="AC72" s="129"/>
      <c r="AD72" s="130"/>
      <c r="AE72" s="130"/>
      <c r="AF72" s="130"/>
      <c r="AG72" s="126"/>
      <c r="AH72" s="126"/>
      <c r="AI72" s="126"/>
      <c r="AJ72" s="126"/>
      <c r="AK72" s="126"/>
      <c r="AL72" s="126"/>
      <c r="AM72" s="130"/>
      <c r="AN72" s="130"/>
      <c r="AO72" s="130"/>
      <c r="AP72" s="130"/>
      <c r="AQ72" s="130"/>
      <c r="AR72" s="130"/>
      <c r="AS72" s="129"/>
      <c r="AT72" s="129"/>
      <c r="AU72" s="125"/>
      <c r="AV72" s="125"/>
      <c r="AW72" s="126"/>
      <c r="AX72" s="129"/>
      <c r="AY72" s="129"/>
      <c r="AZ72" s="129"/>
      <c r="BA72" s="127"/>
      <c r="BB72" s="31">
        <f t="shared" si="18"/>
        <v>0</v>
      </c>
      <c r="BC72" s="37"/>
    </row>
    <row r="73" spans="1:55" ht="73.5" customHeight="1" x14ac:dyDescent="0.25">
      <c r="A73" s="102">
        <v>13</v>
      </c>
      <c r="B73" s="132" t="s">
        <v>153</v>
      </c>
      <c r="C73" s="108">
        <v>10</v>
      </c>
      <c r="D73" s="89" t="s">
        <v>142</v>
      </c>
      <c r="E73" s="47" t="s">
        <v>146</v>
      </c>
      <c r="F73" s="89">
        <v>0.36</v>
      </c>
      <c r="G73" s="29" t="s">
        <v>148</v>
      </c>
      <c r="H73" s="87">
        <v>2106</v>
      </c>
      <c r="I73" s="87">
        <v>758</v>
      </c>
      <c r="J73" s="47" t="s">
        <v>152</v>
      </c>
      <c r="K73" s="47">
        <v>1.1200000000000001</v>
      </c>
      <c r="L73" s="87">
        <v>849</v>
      </c>
      <c r="M73" s="128">
        <f>SUM(L73:L76)</f>
        <v>2717</v>
      </c>
      <c r="N73" s="128">
        <f>M73*0.2</f>
        <v>543.4</v>
      </c>
      <c r="O73" s="128">
        <f>M73+N73</f>
        <v>3260.4</v>
      </c>
      <c r="P73" s="128">
        <f>O73*R73*S73</f>
        <v>3718.7731152000006</v>
      </c>
      <c r="Q73" s="128">
        <f>P73</f>
        <v>3718.7731152000006</v>
      </c>
      <c r="R73" s="124">
        <v>1.0740000000000001</v>
      </c>
      <c r="S73" s="124">
        <v>1.0620000000000001</v>
      </c>
      <c r="T73" s="124">
        <v>1.0509999999999999</v>
      </c>
      <c r="U73" s="124">
        <v>1.048</v>
      </c>
      <c r="V73" s="124">
        <v>1.0469999999999999</v>
      </c>
      <c r="W73" s="124">
        <v>1.0469999999999999</v>
      </c>
      <c r="X73" s="128">
        <v>0</v>
      </c>
      <c r="Y73" s="128">
        <f>Q73</f>
        <v>3718.7731152000006</v>
      </c>
      <c r="Z73" s="128">
        <v>0</v>
      </c>
      <c r="AA73" s="128">
        <v>0</v>
      </c>
      <c r="AB73" s="128">
        <v>0</v>
      </c>
      <c r="AC73" s="128">
        <v>0</v>
      </c>
      <c r="AD73" s="128">
        <f>(L73+L74+L75+L76)*1.2</f>
        <v>3260.4</v>
      </c>
      <c r="AE73" s="128">
        <f>AD73*AG73*AH73</f>
        <v>3492.5926464000004</v>
      </c>
      <c r="AF73" s="128">
        <f>AM73+AN73+AO73+AP73+AQ73+AR73</f>
        <v>3492.5926464000004</v>
      </c>
      <c r="AG73" s="124">
        <v>1.032</v>
      </c>
      <c r="AH73" s="124">
        <v>1.038</v>
      </c>
      <c r="AI73" s="124">
        <v>1.0509999999999999</v>
      </c>
      <c r="AJ73" s="124">
        <v>1.0429999999999999</v>
      </c>
      <c r="AK73" s="124">
        <v>1.042</v>
      </c>
      <c r="AL73" s="124">
        <v>1.0409999999999999</v>
      </c>
      <c r="AM73" s="128">
        <v>0</v>
      </c>
      <c r="AN73" s="128">
        <f>AD73*AG73*AH73</f>
        <v>3492.5926464000004</v>
      </c>
      <c r="AO73" s="128">
        <v>0</v>
      </c>
      <c r="AP73" s="128">
        <v>0</v>
      </c>
      <c r="AQ73" s="128">
        <v>0</v>
      </c>
      <c r="AR73" s="128">
        <v>0</v>
      </c>
      <c r="AS73" s="128">
        <v>400.94567999999998</v>
      </c>
      <c r="AT73" s="128">
        <v>0</v>
      </c>
      <c r="AU73" s="124">
        <v>1.0740000000000001</v>
      </c>
      <c r="AV73" s="124">
        <v>1.0369999999999999</v>
      </c>
      <c r="AW73" s="124">
        <v>1.0389999999999999</v>
      </c>
      <c r="AX73" s="128">
        <v>0</v>
      </c>
      <c r="AY73" s="128">
        <v>400.94567999999998</v>
      </c>
      <c r="AZ73" s="128">
        <v>0</v>
      </c>
      <c r="BA73" s="127">
        <v>0</v>
      </c>
      <c r="BB73" s="31">
        <f t="shared" si="18"/>
        <v>3098.9775960000006</v>
      </c>
      <c r="BC73" s="37"/>
    </row>
    <row r="74" spans="1:55" ht="78" customHeight="1" x14ac:dyDescent="0.25">
      <c r="A74" s="114"/>
      <c r="B74" s="133"/>
      <c r="C74" s="117"/>
      <c r="D74" s="89" t="s">
        <v>143</v>
      </c>
      <c r="E74" s="46" t="s">
        <v>147</v>
      </c>
      <c r="F74" s="89">
        <v>0.18</v>
      </c>
      <c r="G74" s="29" t="s">
        <v>149</v>
      </c>
      <c r="H74" s="87">
        <v>1428</v>
      </c>
      <c r="I74" s="87">
        <v>257</v>
      </c>
      <c r="J74" s="47" t="s">
        <v>36</v>
      </c>
      <c r="K74" s="47" t="s">
        <v>36</v>
      </c>
      <c r="L74" s="87">
        <v>257</v>
      </c>
      <c r="M74" s="129"/>
      <c r="N74" s="129"/>
      <c r="O74" s="129"/>
      <c r="P74" s="129"/>
      <c r="Q74" s="129"/>
      <c r="R74" s="125"/>
      <c r="S74" s="125"/>
      <c r="T74" s="125"/>
      <c r="U74" s="125"/>
      <c r="V74" s="125"/>
      <c r="W74" s="125"/>
      <c r="X74" s="129"/>
      <c r="Y74" s="129"/>
      <c r="Z74" s="129"/>
      <c r="AA74" s="129"/>
      <c r="AB74" s="129"/>
      <c r="AC74" s="129"/>
      <c r="AD74" s="129"/>
      <c r="AE74" s="129"/>
      <c r="AF74" s="129"/>
      <c r="AG74" s="125"/>
      <c r="AH74" s="125"/>
      <c r="AI74" s="125"/>
      <c r="AJ74" s="125"/>
      <c r="AK74" s="125"/>
      <c r="AL74" s="125"/>
      <c r="AM74" s="129"/>
      <c r="AN74" s="129"/>
      <c r="AO74" s="129"/>
      <c r="AP74" s="129"/>
      <c r="AQ74" s="129"/>
      <c r="AR74" s="129"/>
      <c r="AS74" s="129"/>
      <c r="AT74" s="129"/>
      <c r="AU74" s="125"/>
      <c r="AV74" s="125"/>
      <c r="AW74" s="125"/>
      <c r="AX74" s="129"/>
      <c r="AY74" s="129"/>
      <c r="AZ74" s="129"/>
      <c r="BA74" s="127"/>
      <c r="BB74" s="31">
        <f t="shared" si="18"/>
        <v>0</v>
      </c>
      <c r="BC74" s="37"/>
    </row>
    <row r="75" spans="1:55" ht="45.75" customHeight="1" x14ac:dyDescent="0.25">
      <c r="A75" s="114"/>
      <c r="B75" s="133"/>
      <c r="C75" s="117"/>
      <c r="D75" s="89" t="s">
        <v>144</v>
      </c>
      <c r="E75" s="46" t="s">
        <v>147</v>
      </c>
      <c r="F75" s="89">
        <v>10</v>
      </c>
      <c r="G75" s="29" t="s">
        <v>150</v>
      </c>
      <c r="H75" s="87">
        <v>134</v>
      </c>
      <c r="I75" s="87">
        <v>1340</v>
      </c>
      <c r="J75" s="47" t="s">
        <v>152</v>
      </c>
      <c r="K75" s="47">
        <v>1.1200000000000001</v>
      </c>
      <c r="L75" s="87">
        <v>1501</v>
      </c>
      <c r="M75" s="129"/>
      <c r="N75" s="129"/>
      <c r="O75" s="129"/>
      <c r="P75" s="129"/>
      <c r="Q75" s="129"/>
      <c r="R75" s="125"/>
      <c r="S75" s="125"/>
      <c r="T75" s="125"/>
      <c r="U75" s="125"/>
      <c r="V75" s="125"/>
      <c r="W75" s="125"/>
      <c r="X75" s="129"/>
      <c r="Y75" s="129"/>
      <c r="Z75" s="129"/>
      <c r="AA75" s="129"/>
      <c r="AB75" s="129"/>
      <c r="AC75" s="129"/>
      <c r="AD75" s="129"/>
      <c r="AE75" s="129"/>
      <c r="AF75" s="129"/>
      <c r="AG75" s="125"/>
      <c r="AH75" s="125"/>
      <c r="AI75" s="125"/>
      <c r="AJ75" s="125"/>
      <c r="AK75" s="125"/>
      <c r="AL75" s="125"/>
      <c r="AM75" s="129"/>
      <c r="AN75" s="129"/>
      <c r="AO75" s="129"/>
      <c r="AP75" s="129"/>
      <c r="AQ75" s="129"/>
      <c r="AR75" s="129"/>
      <c r="AS75" s="129"/>
      <c r="AT75" s="129"/>
      <c r="AU75" s="125"/>
      <c r="AV75" s="125"/>
      <c r="AW75" s="125"/>
      <c r="AX75" s="129"/>
      <c r="AY75" s="129"/>
      <c r="AZ75" s="129"/>
      <c r="BA75" s="127"/>
      <c r="BB75" s="31">
        <f t="shared" si="18"/>
        <v>0</v>
      </c>
      <c r="BC75" s="37"/>
    </row>
    <row r="76" spans="1:55" ht="45.75" customHeight="1" x14ac:dyDescent="0.25">
      <c r="A76" s="103"/>
      <c r="B76" s="134"/>
      <c r="C76" s="109"/>
      <c r="D76" s="89" t="s">
        <v>145</v>
      </c>
      <c r="E76" s="46" t="s">
        <v>147</v>
      </c>
      <c r="F76" s="89">
        <v>0.18</v>
      </c>
      <c r="G76" s="29" t="s">
        <v>151</v>
      </c>
      <c r="H76" s="87">
        <v>611</v>
      </c>
      <c r="I76" s="87">
        <v>110</v>
      </c>
      <c r="J76" s="47" t="s">
        <v>36</v>
      </c>
      <c r="K76" s="47" t="s">
        <v>36</v>
      </c>
      <c r="L76" s="87">
        <v>110</v>
      </c>
      <c r="M76" s="130"/>
      <c r="N76" s="130"/>
      <c r="O76" s="130"/>
      <c r="P76" s="130"/>
      <c r="Q76" s="130"/>
      <c r="R76" s="126"/>
      <c r="S76" s="126"/>
      <c r="T76" s="126"/>
      <c r="U76" s="126"/>
      <c r="V76" s="126"/>
      <c r="W76" s="126"/>
      <c r="X76" s="130"/>
      <c r="Y76" s="130"/>
      <c r="Z76" s="130"/>
      <c r="AA76" s="130"/>
      <c r="AB76" s="130"/>
      <c r="AC76" s="130"/>
      <c r="AD76" s="130"/>
      <c r="AE76" s="130"/>
      <c r="AF76" s="130"/>
      <c r="AG76" s="126"/>
      <c r="AH76" s="126"/>
      <c r="AI76" s="126"/>
      <c r="AJ76" s="126"/>
      <c r="AK76" s="126"/>
      <c r="AL76" s="126"/>
      <c r="AM76" s="130"/>
      <c r="AN76" s="130"/>
      <c r="AO76" s="130"/>
      <c r="AP76" s="130"/>
      <c r="AQ76" s="130"/>
      <c r="AR76" s="130"/>
      <c r="AS76" s="130"/>
      <c r="AT76" s="130"/>
      <c r="AU76" s="126"/>
      <c r="AV76" s="126"/>
      <c r="AW76" s="126"/>
      <c r="AX76" s="130"/>
      <c r="AY76" s="130"/>
      <c r="AZ76" s="130"/>
      <c r="BA76" s="127"/>
      <c r="BB76" s="31">
        <f t="shared" si="18"/>
        <v>0</v>
      </c>
      <c r="BC76" s="37"/>
    </row>
    <row r="77" spans="1:55" ht="67.5" customHeight="1" x14ac:dyDescent="0.25">
      <c r="A77" s="194">
        <v>14</v>
      </c>
      <c r="B77" s="191" t="s">
        <v>184</v>
      </c>
      <c r="C77" s="178" t="s">
        <v>157</v>
      </c>
      <c r="D77" s="47" t="s">
        <v>158</v>
      </c>
      <c r="E77" s="47" t="s">
        <v>37</v>
      </c>
      <c r="F77" s="47">
        <v>8</v>
      </c>
      <c r="G77" s="46" t="s">
        <v>159</v>
      </c>
      <c r="H77" s="53">
        <v>5533</v>
      </c>
      <c r="I77" s="80">
        <f t="shared" ref="I77:I78" si="23">F77*H77</f>
        <v>44264</v>
      </c>
      <c r="J77" s="47" t="s">
        <v>55</v>
      </c>
      <c r="K77" s="47">
        <v>1.03</v>
      </c>
      <c r="L77" s="80">
        <f t="shared" ref="L77" si="24">I77*K77</f>
        <v>45591.92</v>
      </c>
      <c r="M77" s="128">
        <f>SUM(L77:L85)</f>
        <v>163045.3842</v>
      </c>
      <c r="N77" s="128">
        <f>M77*0.2</f>
        <v>32609.076840000002</v>
      </c>
      <c r="O77" s="128">
        <v>195654.46103999999</v>
      </c>
      <c r="P77" s="128">
        <f>O77*R77*S77</f>
        <v>217907.80812976751</v>
      </c>
      <c r="Q77" s="128">
        <f>Y77+Z77</f>
        <v>226015.29060882842</v>
      </c>
      <c r="R77" s="124">
        <v>1.0740000000000001</v>
      </c>
      <c r="S77" s="124">
        <v>1.0369999999999999</v>
      </c>
      <c r="T77" s="124">
        <v>1.0389999999999999</v>
      </c>
      <c r="U77" s="124">
        <v>1.042</v>
      </c>
      <c r="V77" s="124">
        <v>1.0429999999999999</v>
      </c>
      <c r="W77" s="124">
        <v>1.0429999999999999</v>
      </c>
      <c r="X77" s="128">
        <v>0</v>
      </c>
      <c r="Y77" s="128">
        <f>L78*R77*S77*1.2</f>
        <v>10023.642</v>
      </c>
      <c r="Z77" s="128">
        <f>(L77+L79+L80+L81+L82+L83+L84+L85)*1.2*R77*S77*T77</f>
        <v>215991.64860882843</v>
      </c>
      <c r="AA77" s="128">
        <v>0</v>
      </c>
      <c r="AB77" s="128">
        <v>0</v>
      </c>
      <c r="AC77" s="128">
        <v>0</v>
      </c>
      <c r="AD77" s="128">
        <f>(L77+L78+L79+L80+L81+L82+L83+L84+L85)*1.2</f>
        <v>195654.46103999999</v>
      </c>
      <c r="AE77" s="128">
        <f>AF77</f>
        <v>219785.4986394333</v>
      </c>
      <c r="AF77" s="128">
        <f>AM77+AN77+AO77+AP77+AQ77+AR77</f>
        <v>219785.4986394333</v>
      </c>
      <c r="AG77" s="124">
        <v>1.032</v>
      </c>
      <c r="AH77" s="124">
        <v>1.038</v>
      </c>
      <c r="AI77" s="124">
        <v>1.0509999999999999</v>
      </c>
      <c r="AJ77" s="124">
        <v>1.0429999999999999</v>
      </c>
      <c r="AK77" s="124">
        <v>1.042</v>
      </c>
      <c r="AL77" s="124">
        <v>1.0409999999999999</v>
      </c>
      <c r="AM77" s="128">
        <v>0</v>
      </c>
      <c r="AN77" s="128">
        <f>L78*1.2*AG77*AH77</f>
        <v>9640.9439999999995</v>
      </c>
      <c r="AO77" s="128">
        <f>(L77+L79+L80+L81+L82+L83+L84+L85)*1.2*AG77*AH77*AI77</f>
        <v>210144.55463943331</v>
      </c>
      <c r="AP77" s="128">
        <v>0</v>
      </c>
      <c r="AQ77" s="128">
        <v>0</v>
      </c>
      <c r="AR77" s="128">
        <v>0</v>
      </c>
      <c r="AS77" s="128">
        <v>195654.46103999999</v>
      </c>
      <c r="AT77" s="123">
        <f>AS77*1.2</f>
        <v>234785.353248</v>
      </c>
      <c r="AU77" s="124">
        <v>1.0740000000000001</v>
      </c>
      <c r="AV77" s="124">
        <v>1.0369999999999999</v>
      </c>
      <c r="AW77" s="124">
        <v>1.0389999999999999</v>
      </c>
      <c r="AX77" s="123">
        <v>0</v>
      </c>
      <c r="AY77" s="123">
        <v>10023.642</v>
      </c>
      <c r="AZ77" s="123">
        <v>215991.64860882843</v>
      </c>
      <c r="BA77" s="127">
        <f>AS9-O9</f>
        <v>0</v>
      </c>
      <c r="BB77" s="31">
        <f t="shared" si="18"/>
        <v>188346.07550735702</v>
      </c>
    </row>
    <row r="78" spans="1:55" ht="30" x14ac:dyDescent="0.25">
      <c r="A78" s="195"/>
      <c r="B78" s="192"/>
      <c r="C78" s="179"/>
      <c r="D78" s="47" t="s">
        <v>160</v>
      </c>
      <c r="E78" s="47" t="s">
        <v>41</v>
      </c>
      <c r="F78" s="47">
        <v>1</v>
      </c>
      <c r="G78" s="29" t="s">
        <v>98</v>
      </c>
      <c r="H78" s="47">
        <v>7500</v>
      </c>
      <c r="I78" s="80">
        <f t="shared" si="23"/>
        <v>7500</v>
      </c>
      <c r="J78" s="47" t="s">
        <v>36</v>
      </c>
      <c r="K78" s="47" t="s">
        <v>36</v>
      </c>
      <c r="L78" s="80">
        <f>I78</f>
        <v>7500</v>
      </c>
      <c r="M78" s="129"/>
      <c r="N78" s="129"/>
      <c r="O78" s="129"/>
      <c r="P78" s="129"/>
      <c r="Q78" s="129"/>
      <c r="R78" s="125"/>
      <c r="S78" s="125"/>
      <c r="T78" s="125"/>
      <c r="U78" s="125"/>
      <c r="V78" s="125"/>
      <c r="W78" s="125"/>
      <c r="X78" s="129"/>
      <c r="Y78" s="129"/>
      <c r="Z78" s="129"/>
      <c r="AA78" s="129"/>
      <c r="AB78" s="129"/>
      <c r="AC78" s="129"/>
      <c r="AD78" s="129"/>
      <c r="AE78" s="129"/>
      <c r="AF78" s="129"/>
      <c r="AG78" s="125"/>
      <c r="AH78" s="125"/>
      <c r="AI78" s="125"/>
      <c r="AJ78" s="125"/>
      <c r="AK78" s="125"/>
      <c r="AL78" s="125"/>
      <c r="AM78" s="129"/>
      <c r="AN78" s="129"/>
      <c r="AO78" s="129"/>
      <c r="AP78" s="129"/>
      <c r="AQ78" s="129"/>
      <c r="AR78" s="129"/>
      <c r="AS78" s="129"/>
      <c r="AT78" s="123"/>
      <c r="AU78" s="125"/>
      <c r="AV78" s="125"/>
      <c r="AW78" s="125"/>
      <c r="AX78" s="123"/>
      <c r="AY78" s="123"/>
      <c r="AZ78" s="123"/>
      <c r="BA78" s="127"/>
      <c r="BB78" s="31">
        <f t="shared" si="18"/>
        <v>0</v>
      </c>
    </row>
    <row r="79" spans="1:55" ht="18.75" customHeight="1" x14ac:dyDescent="0.25">
      <c r="A79" s="195"/>
      <c r="B79" s="192"/>
      <c r="C79" s="179"/>
      <c r="D79" s="47" t="s">
        <v>161</v>
      </c>
      <c r="E79" s="47" t="s">
        <v>37</v>
      </c>
      <c r="F79" s="47">
        <v>2</v>
      </c>
      <c r="G79" s="46" t="s">
        <v>162</v>
      </c>
      <c r="H79" s="47">
        <v>13695</v>
      </c>
      <c r="I79" s="80">
        <f>H79*F79</f>
        <v>27390</v>
      </c>
      <c r="J79" s="47" t="s">
        <v>92</v>
      </c>
      <c r="K79" s="47">
        <v>1.05</v>
      </c>
      <c r="L79" s="80">
        <f>I79*K79</f>
        <v>28759.5</v>
      </c>
      <c r="M79" s="129"/>
      <c r="N79" s="129"/>
      <c r="O79" s="129"/>
      <c r="P79" s="129"/>
      <c r="Q79" s="129"/>
      <c r="R79" s="125"/>
      <c r="S79" s="125"/>
      <c r="T79" s="125"/>
      <c r="U79" s="125"/>
      <c r="V79" s="125"/>
      <c r="W79" s="125"/>
      <c r="X79" s="129"/>
      <c r="Y79" s="129"/>
      <c r="Z79" s="129"/>
      <c r="AA79" s="129"/>
      <c r="AB79" s="129"/>
      <c r="AC79" s="129"/>
      <c r="AD79" s="129"/>
      <c r="AE79" s="129"/>
      <c r="AF79" s="129"/>
      <c r="AG79" s="125"/>
      <c r="AH79" s="125"/>
      <c r="AI79" s="125"/>
      <c r="AJ79" s="125"/>
      <c r="AK79" s="125"/>
      <c r="AL79" s="125"/>
      <c r="AM79" s="129"/>
      <c r="AN79" s="129"/>
      <c r="AO79" s="129"/>
      <c r="AP79" s="129"/>
      <c r="AQ79" s="129"/>
      <c r="AR79" s="129"/>
      <c r="AS79" s="129"/>
      <c r="AT79" s="123"/>
      <c r="AU79" s="125"/>
      <c r="AV79" s="125"/>
      <c r="AW79" s="125"/>
      <c r="AX79" s="123"/>
      <c r="AY79" s="123"/>
      <c r="AZ79" s="123"/>
      <c r="BA79" s="127"/>
      <c r="BB79" s="31">
        <f t="shared" si="18"/>
        <v>0</v>
      </c>
    </row>
    <row r="80" spans="1:55" ht="63" customHeight="1" x14ac:dyDescent="0.25">
      <c r="A80" s="195"/>
      <c r="B80" s="192"/>
      <c r="C80" s="179"/>
      <c r="D80" s="47" t="s">
        <v>163</v>
      </c>
      <c r="E80" s="47" t="s">
        <v>37</v>
      </c>
      <c r="F80" s="47">
        <v>11</v>
      </c>
      <c r="G80" s="46" t="s">
        <v>164</v>
      </c>
      <c r="H80" s="47">
        <v>1188</v>
      </c>
      <c r="I80" s="80">
        <f t="shared" ref="I80:I84" si="25">F80*H80</f>
        <v>13068</v>
      </c>
      <c r="J80" s="47" t="s">
        <v>59</v>
      </c>
      <c r="K80" s="47">
        <v>1.03</v>
      </c>
      <c r="L80" s="80">
        <f>I80*K80</f>
        <v>13460.04</v>
      </c>
      <c r="M80" s="129"/>
      <c r="N80" s="129"/>
      <c r="O80" s="129"/>
      <c r="P80" s="129"/>
      <c r="Q80" s="129"/>
      <c r="R80" s="125"/>
      <c r="S80" s="125"/>
      <c r="T80" s="125"/>
      <c r="U80" s="125"/>
      <c r="V80" s="125"/>
      <c r="W80" s="125"/>
      <c r="X80" s="129"/>
      <c r="Y80" s="129"/>
      <c r="Z80" s="129"/>
      <c r="AA80" s="129"/>
      <c r="AB80" s="129"/>
      <c r="AC80" s="129"/>
      <c r="AD80" s="129"/>
      <c r="AE80" s="129"/>
      <c r="AF80" s="129"/>
      <c r="AG80" s="125"/>
      <c r="AH80" s="125"/>
      <c r="AI80" s="125"/>
      <c r="AJ80" s="125"/>
      <c r="AK80" s="125"/>
      <c r="AL80" s="125"/>
      <c r="AM80" s="129"/>
      <c r="AN80" s="129"/>
      <c r="AO80" s="129"/>
      <c r="AP80" s="129"/>
      <c r="AQ80" s="129"/>
      <c r="AR80" s="129"/>
      <c r="AS80" s="129"/>
      <c r="AT80" s="123"/>
      <c r="AU80" s="125"/>
      <c r="AV80" s="125"/>
      <c r="AW80" s="125"/>
      <c r="AX80" s="123"/>
      <c r="AY80" s="123"/>
      <c r="AZ80" s="123"/>
      <c r="BA80" s="127"/>
      <c r="BB80" s="31">
        <f t="shared" si="18"/>
        <v>0</v>
      </c>
    </row>
    <row r="81" spans="1:54" ht="65.25" customHeight="1" x14ac:dyDescent="0.25">
      <c r="A81" s="195"/>
      <c r="B81" s="192"/>
      <c r="C81" s="179"/>
      <c r="D81" s="47" t="s">
        <v>165</v>
      </c>
      <c r="E81" s="47" t="s">
        <v>37</v>
      </c>
      <c r="F81" s="47">
        <v>3</v>
      </c>
      <c r="G81" s="46" t="s">
        <v>166</v>
      </c>
      <c r="H81" s="47">
        <v>1301</v>
      </c>
      <c r="I81" s="80">
        <f t="shared" si="25"/>
        <v>3903</v>
      </c>
      <c r="J81" s="47" t="s">
        <v>59</v>
      </c>
      <c r="K81" s="47">
        <v>1.03</v>
      </c>
      <c r="L81" s="80">
        <f>I81*K81</f>
        <v>4020.09</v>
      </c>
      <c r="M81" s="129"/>
      <c r="N81" s="129"/>
      <c r="O81" s="129"/>
      <c r="P81" s="129"/>
      <c r="Q81" s="129"/>
      <c r="R81" s="125"/>
      <c r="S81" s="125"/>
      <c r="T81" s="125"/>
      <c r="U81" s="125"/>
      <c r="V81" s="125"/>
      <c r="W81" s="125"/>
      <c r="X81" s="129"/>
      <c r="Y81" s="129"/>
      <c r="Z81" s="129"/>
      <c r="AA81" s="129"/>
      <c r="AB81" s="129"/>
      <c r="AC81" s="129"/>
      <c r="AD81" s="129"/>
      <c r="AE81" s="129"/>
      <c r="AF81" s="129"/>
      <c r="AG81" s="125"/>
      <c r="AH81" s="125"/>
      <c r="AI81" s="125"/>
      <c r="AJ81" s="125"/>
      <c r="AK81" s="125"/>
      <c r="AL81" s="125"/>
      <c r="AM81" s="129"/>
      <c r="AN81" s="129"/>
      <c r="AO81" s="129"/>
      <c r="AP81" s="129"/>
      <c r="AQ81" s="129"/>
      <c r="AR81" s="129"/>
      <c r="AS81" s="129"/>
      <c r="AT81" s="123"/>
      <c r="AU81" s="125"/>
      <c r="AV81" s="125"/>
      <c r="AW81" s="125"/>
      <c r="AX81" s="123"/>
      <c r="AY81" s="123"/>
      <c r="AZ81" s="123"/>
      <c r="BA81" s="127"/>
      <c r="BB81" s="31">
        <f t="shared" si="18"/>
        <v>0</v>
      </c>
    </row>
    <row r="82" spans="1:54" ht="73.5" customHeight="1" x14ac:dyDescent="0.25">
      <c r="A82" s="195"/>
      <c r="B82" s="192"/>
      <c r="C82" s="179"/>
      <c r="D82" s="47" t="s">
        <v>167</v>
      </c>
      <c r="E82" s="47" t="s">
        <v>34</v>
      </c>
      <c r="F82" s="47">
        <v>5.1959999999999997</v>
      </c>
      <c r="G82" s="92" t="s">
        <v>168</v>
      </c>
      <c r="H82" s="53">
        <v>2270</v>
      </c>
      <c r="I82" s="87">
        <f t="shared" si="25"/>
        <v>11794.92</v>
      </c>
      <c r="J82" s="47" t="s">
        <v>169</v>
      </c>
      <c r="K82" s="47">
        <v>1.05</v>
      </c>
      <c r="L82" s="87">
        <f t="shared" ref="L82:L86" si="26">I82*K82</f>
        <v>12384.666000000001</v>
      </c>
      <c r="M82" s="129"/>
      <c r="N82" s="129"/>
      <c r="O82" s="129"/>
      <c r="P82" s="129"/>
      <c r="Q82" s="129"/>
      <c r="R82" s="125"/>
      <c r="S82" s="125"/>
      <c r="T82" s="125"/>
      <c r="U82" s="125"/>
      <c r="V82" s="125"/>
      <c r="W82" s="125"/>
      <c r="X82" s="129"/>
      <c r="Y82" s="129"/>
      <c r="Z82" s="129"/>
      <c r="AA82" s="129"/>
      <c r="AB82" s="129" t="s">
        <v>183</v>
      </c>
      <c r="AC82" s="129" t="s">
        <v>183</v>
      </c>
      <c r="AD82" s="129"/>
      <c r="AE82" s="129"/>
      <c r="AF82" s="129"/>
      <c r="AG82" s="125"/>
      <c r="AH82" s="125"/>
      <c r="AI82" s="125"/>
      <c r="AJ82" s="125"/>
      <c r="AK82" s="125"/>
      <c r="AL82" s="125"/>
      <c r="AM82" s="129"/>
      <c r="AN82" s="129"/>
      <c r="AO82" s="129"/>
      <c r="AP82" s="129"/>
      <c r="AQ82" s="129"/>
      <c r="AR82" s="129"/>
      <c r="AS82" s="129"/>
      <c r="AT82" s="123"/>
      <c r="AU82" s="125"/>
      <c r="AV82" s="125"/>
      <c r="AW82" s="125"/>
      <c r="AX82" s="123"/>
      <c r="AY82" s="123"/>
      <c r="AZ82" s="123"/>
      <c r="BA82" s="127"/>
      <c r="BB82" s="31">
        <f t="shared" si="18"/>
        <v>0</v>
      </c>
    </row>
    <row r="83" spans="1:54" ht="21.75" customHeight="1" x14ac:dyDescent="0.25">
      <c r="A83" s="195"/>
      <c r="B83" s="192"/>
      <c r="C83" s="179"/>
      <c r="D83" s="89" t="s">
        <v>73</v>
      </c>
      <c r="E83" s="89" t="s">
        <v>33</v>
      </c>
      <c r="F83" s="89">
        <v>2</v>
      </c>
      <c r="G83" s="92" t="s">
        <v>74</v>
      </c>
      <c r="H83" s="87">
        <v>1273</v>
      </c>
      <c r="I83" s="87">
        <f t="shared" si="25"/>
        <v>2546</v>
      </c>
      <c r="J83" s="87" t="s">
        <v>54</v>
      </c>
      <c r="K83" s="30">
        <v>1.1000000000000001</v>
      </c>
      <c r="L83" s="87">
        <f>I83*K83</f>
        <v>2800.6000000000004</v>
      </c>
      <c r="M83" s="129"/>
      <c r="N83" s="129"/>
      <c r="O83" s="129"/>
      <c r="P83" s="129"/>
      <c r="Q83" s="129"/>
      <c r="R83" s="125"/>
      <c r="S83" s="125"/>
      <c r="T83" s="125"/>
      <c r="U83" s="125"/>
      <c r="V83" s="125"/>
      <c r="W83" s="125"/>
      <c r="X83" s="129"/>
      <c r="Y83" s="129"/>
      <c r="Z83" s="129"/>
      <c r="AA83" s="129"/>
      <c r="AB83" s="129"/>
      <c r="AC83" s="129"/>
      <c r="AD83" s="129"/>
      <c r="AE83" s="129"/>
      <c r="AF83" s="129"/>
      <c r="AG83" s="125"/>
      <c r="AH83" s="125"/>
      <c r="AI83" s="125"/>
      <c r="AJ83" s="125"/>
      <c r="AK83" s="125"/>
      <c r="AL83" s="125"/>
      <c r="AM83" s="129"/>
      <c r="AN83" s="129"/>
      <c r="AO83" s="129"/>
      <c r="AP83" s="129"/>
      <c r="AQ83" s="129"/>
      <c r="AR83" s="129"/>
      <c r="AS83" s="129"/>
      <c r="AT83" s="123"/>
      <c r="AU83" s="125"/>
      <c r="AV83" s="125"/>
      <c r="AW83" s="125"/>
      <c r="AX83" s="123"/>
      <c r="AY83" s="123"/>
      <c r="AZ83" s="123"/>
      <c r="BA83" s="127"/>
      <c r="BB83" s="31">
        <f t="shared" si="18"/>
        <v>0</v>
      </c>
    </row>
    <row r="84" spans="1:54" ht="63.75" customHeight="1" x14ac:dyDescent="0.25">
      <c r="A84" s="195"/>
      <c r="B84" s="192"/>
      <c r="C84" s="179"/>
      <c r="D84" s="89" t="s">
        <v>170</v>
      </c>
      <c r="E84" s="89" t="s">
        <v>171</v>
      </c>
      <c r="F84" s="89">
        <v>7000</v>
      </c>
      <c r="G84" s="29" t="s">
        <v>172</v>
      </c>
      <c r="H84" s="87">
        <v>2.5499999999999998</v>
      </c>
      <c r="I84" s="87">
        <f t="shared" si="25"/>
        <v>17850</v>
      </c>
      <c r="J84" s="87" t="s">
        <v>36</v>
      </c>
      <c r="K84" s="30" t="s">
        <v>36</v>
      </c>
      <c r="L84" s="87">
        <f>I84</f>
        <v>17850</v>
      </c>
      <c r="M84" s="129"/>
      <c r="N84" s="129"/>
      <c r="O84" s="129"/>
      <c r="P84" s="129"/>
      <c r="Q84" s="129"/>
      <c r="R84" s="125"/>
      <c r="S84" s="125"/>
      <c r="T84" s="125"/>
      <c r="U84" s="125"/>
      <c r="V84" s="125"/>
      <c r="W84" s="125"/>
      <c r="X84" s="129"/>
      <c r="Y84" s="129"/>
      <c r="Z84" s="129"/>
      <c r="AA84" s="129"/>
      <c r="AB84" s="129"/>
      <c r="AC84" s="129"/>
      <c r="AD84" s="129"/>
      <c r="AE84" s="129"/>
      <c r="AF84" s="129"/>
      <c r="AG84" s="125"/>
      <c r="AH84" s="125"/>
      <c r="AI84" s="125"/>
      <c r="AJ84" s="125"/>
      <c r="AK84" s="125"/>
      <c r="AL84" s="125"/>
      <c r="AM84" s="129"/>
      <c r="AN84" s="129"/>
      <c r="AO84" s="129"/>
      <c r="AP84" s="129"/>
      <c r="AQ84" s="129"/>
      <c r="AR84" s="129"/>
      <c r="AS84" s="129"/>
      <c r="AT84" s="123"/>
      <c r="AU84" s="125"/>
      <c r="AV84" s="125"/>
      <c r="AW84" s="125"/>
      <c r="AX84" s="123"/>
      <c r="AY84" s="123"/>
      <c r="AZ84" s="123"/>
      <c r="BA84" s="127"/>
      <c r="BB84" s="31">
        <f t="shared" si="18"/>
        <v>0</v>
      </c>
    </row>
    <row r="85" spans="1:54" ht="75" customHeight="1" x14ac:dyDescent="0.25">
      <c r="A85" s="196"/>
      <c r="B85" s="193"/>
      <c r="C85" s="180"/>
      <c r="D85" s="47" t="s">
        <v>127</v>
      </c>
      <c r="E85" s="47" t="s">
        <v>173</v>
      </c>
      <c r="F85" s="47">
        <v>289.28399999999999</v>
      </c>
      <c r="G85" s="92" t="s">
        <v>168</v>
      </c>
      <c r="H85" s="53">
        <v>101</v>
      </c>
      <c r="I85" s="87">
        <f>F85*H85</f>
        <v>29217.683999999997</v>
      </c>
      <c r="J85" s="47" t="s">
        <v>169</v>
      </c>
      <c r="K85" s="47">
        <v>1.05</v>
      </c>
      <c r="L85" s="87">
        <f t="shared" si="26"/>
        <v>30678.568199999998</v>
      </c>
      <c r="M85" s="130"/>
      <c r="N85" s="130"/>
      <c r="O85" s="130"/>
      <c r="P85" s="130"/>
      <c r="Q85" s="130"/>
      <c r="R85" s="126"/>
      <c r="S85" s="126"/>
      <c r="T85" s="126"/>
      <c r="U85" s="126"/>
      <c r="V85" s="126"/>
      <c r="W85" s="126"/>
      <c r="X85" s="130"/>
      <c r="Y85" s="130"/>
      <c r="Z85" s="130"/>
      <c r="AA85" s="130"/>
      <c r="AB85" s="130"/>
      <c r="AC85" s="130"/>
      <c r="AD85" s="130"/>
      <c r="AE85" s="130"/>
      <c r="AF85" s="130"/>
      <c r="AG85" s="126"/>
      <c r="AH85" s="126"/>
      <c r="AI85" s="126"/>
      <c r="AJ85" s="126"/>
      <c r="AK85" s="126"/>
      <c r="AL85" s="126"/>
      <c r="AM85" s="130"/>
      <c r="AN85" s="130"/>
      <c r="AO85" s="130"/>
      <c r="AP85" s="130"/>
      <c r="AQ85" s="130"/>
      <c r="AR85" s="130"/>
      <c r="AS85" s="130"/>
      <c r="AT85" s="123"/>
      <c r="AU85" s="126"/>
      <c r="AV85" s="126"/>
      <c r="AW85" s="126"/>
      <c r="AX85" s="123"/>
      <c r="AY85" s="123"/>
      <c r="AZ85" s="123"/>
      <c r="BA85" s="127"/>
      <c r="BB85" s="31">
        <f t="shared" si="18"/>
        <v>0</v>
      </c>
    </row>
    <row r="86" spans="1:54" ht="42.75" customHeight="1" x14ac:dyDescent="0.25">
      <c r="A86" s="102">
        <v>15</v>
      </c>
      <c r="B86" s="132" t="s">
        <v>228</v>
      </c>
      <c r="C86" s="108">
        <v>35</v>
      </c>
      <c r="D86" s="89" t="s">
        <v>158</v>
      </c>
      <c r="E86" s="89" t="s">
        <v>33</v>
      </c>
      <c r="F86" s="89">
        <v>10</v>
      </c>
      <c r="G86" s="29" t="s">
        <v>185</v>
      </c>
      <c r="H86" s="87">
        <v>5533</v>
      </c>
      <c r="I86" s="87">
        <f t="shared" ref="I86:I124" si="27">F86*H86</f>
        <v>55330</v>
      </c>
      <c r="J86" s="87" t="s">
        <v>59</v>
      </c>
      <c r="K86" s="30">
        <v>1.03</v>
      </c>
      <c r="L86" s="87">
        <f t="shared" si="26"/>
        <v>56989.9</v>
      </c>
      <c r="M86" s="128">
        <f>SUM(L86:L87)</f>
        <v>58381.9</v>
      </c>
      <c r="N86" s="128">
        <f>M86*0.2</f>
        <v>11676.380000000001</v>
      </c>
      <c r="O86" s="128">
        <v>58381.9</v>
      </c>
      <c r="P86" s="203">
        <f>X86+Z86</f>
        <v>83774.527032385449</v>
      </c>
      <c r="Q86" s="203">
        <f>P86</f>
        <v>83774.527032385449</v>
      </c>
      <c r="R86" s="124">
        <v>1.0740000000000001</v>
      </c>
      <c r="S86" s="124">
        <v>1.0620000000000001</v>
      </c>
      <c r="T86" s="124">
        <v>1.0509999999999999</v>
      </c>
      <c r="U86" s="124">
        <v>1.048</v>
      </c>
      <c r="V86" s="124">
        <v>1.0469999999999999</v>
      </c>
      <c r="W86" s="124">
        <v>1.0469999999999999</v>
      </c>
      <c r="X86" s="128">
        <f>L87*1.2*R86</f>
        <v>1794.0095999999999</v>
      </c>
      <c r="Y86" s="128">
        <v>0</v>
      </c>
      <c r="Z86" s="128">
        <f>L86*1.2*R86*S86*T86</f>
        <v>81980.517432385444</v>
      </c>
      <c r="AA86" s="128">
        <v>0</v>
      </c>
      <c r="AB86" s="128">
        <v>0</v>
      </c>
      <c r="AC86" s="128">
        <v>0</v>
      </c>
      <c r="AD86" s="128">
        <f>M86*1.2</f>
        <v>70058.28</v>
      </c>
      <c r="AE86" s="128">
        <f>AM86+L86*1.2*AG86*AH86*AI86</f>
        <v>83077.318868060174</v>
      </c>
      <c r="AF86" s="128">
        <f>AM86+AN86+AO86+AP86+AQ86+AR86</f>
        <v>83077.318868060174</v>
      </c>
      <c r="AG86" s="124">
        <v>1.0680000000000001</v>
      </c>
      <c r="AH86" s="124">
        <v>1.056</v>
      </c>
      <c r="AI86" s="124">
        <v>1.054</v>
      </c>
      <c r="AJ86" s="124">
        <v>1.0509999999999999</v>
      </c>
      <c r="AK86" s="124">
        <v>1.0489999999999999</v>
      </c>
      <c r="AL86" s="124">
        <v>1.0469999999999999</v>
      </c>
      <c r="AM86" s="128">
        <f>L87*1.2*AG86</f>
        <v>1783.9872</v>
      </c>
      <c r="AN86" s="128">
        <v>0</v>
      </c>
      <c r="AO86" s="128">
        <f>L86*1.2*AG86*AH86*AI86</f>
        <v>81293.331668060171</v>
      </c>
      <c r="AP86" s="128">
        <v>0</v>
      </c>
      <c r="AQ86" s="128">
        <v>0</v>
      </c>
      <c r="AR86" s="128">
        <v>0</v>
      </c>
      <c r="AS86" s="128">
        <v>58381.9</v>
      </c>
      <c r="AT86" s="128">
        <v>75416.247390839999</v>
      </c>
      <c r="AU86" s="124">
        <v>1.0740000000000001</v>
      </c>
      <c r="AV86" s="124">
        <v>1.0369999999999999</v>
      </c>
      <c r="AW86" s="124">
        <v>1.0389999999999999</v>
      </c>
      <c r="AX86" s="128">
        <v>1495.008</v>
      </c>
      <c r="AY86" s="128">
        <v>0</v>
      </c>
      <c r="AZ86" s="128">
        <v>79136.661742562152</v>
      </c>
      <c r="BA86" s="136">
        <f>AS86-O86</f>
        <v>0</v>
      </c>
    </row>
    <row r="87" spans="1:54" ht="80.25" customHeight="1" x14ac:dyDescent="0.25">
      <c r="A87" s="103"/>
      <c r="B87" s="134"/>
      <c r="C87" s="109"/>
      <c r="D87" s="89" t="s">
        <v>209</v>
      </c>
      <c r="E87" s="89" t="s">
        <v>33</v>
      </c>
      <c r="F87" s="89">
        <v>1</v>
      </c>
      <c r="G87" s="29"/>
      <c r="H87" s="87">
        <v>1392</v>
      </c>
      <c r="I87" s="87">
        <f t="shared" ref="I87:I98" si="28">F87*H87</f>
        <v>1392</v>
      </c>
      <c r="J87" s="87" t="s">
        <v>36</v>
      </c>
      <c r="K87" s="30" t="s">
        <v>36</v>
      </c>
      <c r="L87" s="87">
        <f>I87</f>
        <v>1392</v>
      </c>
      <c r="M87" s="130"/>
      <c r="N87" s="130"/>
      <c r="O87" s="130"/>
      <c r="P87" s="204"/>
      <c r="Q87" s="204"/>
      <c r="R87" s="126"/>
      <c r="S87" s="126"/>
      <c r="T87" s="126"/>
      <c r="U87" s="126"/>
      <c r="V87" s="126"/>
      <c r="W87" s="126"/>
      <c r="X87" s="130"/>
      <c r="Y87" s="130"/>
      <c r="Z87" s="130"/>
      <c r="AA87" s="130"/>
      <c r="AB87" s="130"/>
      <c r="AC87" s="130"/>
      <c r="AD87" s="130"/>
      <c r="AE87" s="130"/>
      <c r="AF87" s="130"/>
      <c r="AG87" s="126"/>
      <c r="AH87" s="126"/>
      <c r="AI87" s="126"/>
      <c r="AJ87" s="126"/>
      <c r="AK87" s="126"/>
      <c r="AL87" s="126"/>
      <c r="AM87" s="130"/>
      <c r="AN87" s="130"/>
      <c r="AO87" s="130"/>
      <c r="AP87" s="130"/>
      <c r="AQ87" s="130"/>
      <c r="AR87" s="130"/>
      <c r="AS87" s="130"/>
      <c r="AT87" s="130"/>
      <c r="AU87" s="126"/>
      <c r="AV87" s="126"/>
      <c r="AW87" s="126"/>
      <c r="AX87" s="130"/>
      <c r="AY87" s="130"/>
      <c r="AZ87" s="130"/>
      <c r="BA87" s="138"/>
    </row>
    <row r="88" spans="1:54" ht="75" customHeight="1" x14ac:dyDescent="0.25">
      <c r="A88" s="102">
        <v>16</v>
      </c>
      <c r="B88" s="132" t="s">
        <v>187</v>
      </c>
      <c r="C88" s="108">
        <v>35</v>
      </c>
      <c r="D88" s="89" t="s">
        <v>163</v>
      </c>
      <c r="E88" s="89" t="s">
        <v>33</v>
      </c>
      <c r="F88" s="89">
        <v>30</v>
      </c>
      <c r="G88" s="29" t="s">
        <v>288</v>
      </c>
      <c r="H88" s="87">
        <v>1188</v>
      </c>
      <c r="I88" s="87">
        <f t="shared" si="28"/>
        <v>35640</v>
      </c>
      <c r="J88" s="87" t="s">
        <v>59</v>
      </c>
      <c r="K88" s="30">
        <v>1.03</v>
      </c>
      <c r="L88" s="87">
        <f>I88*K88</f>
        <v>36709.200000000004</v>
      </c>
      <c r="M88" s="128">
        <f>L88+L98</f>
        <v>39709.200000000004</v>
      </c>
      <c r="N88" s="128">
        <f>M88*0.2</f>
        <v>7941.8400000000011</v>
      </c>
      <c r="O88" s="128">
        <f>M88+N88</f>
        <v>47651.040000000008</v>
      </c>
      <c r="P88" s="128">
        <f>O88*R88*S88</f>
        <v>54350.204411520019</v>
      </c>
      <c r="Q88" s="128">
        <f>X88+Y88+Z88+AA88+AB88+AC88</f>
        <v>59656.778568333488</v>
      </c>
      <c r="R88" s="124">
        <v>1.0740000000000001</v>
      </c>
      <c r="S88" s="124">
        <v>1.0620000000000001</v>
      </c>
      <c r="T88" s="124">
        <v>1.0509999999999999</v>
      </c>
      <c r="U88" s="124">
        <v>1.048</v>
      </c>
      <c r="V88" s="124">
        <v>1.0469999999999999</v>
      </c>
      <c r="W88" s="124">
        <v>1.0469999999999999</v>
      </c>
      <c r="X88" s="128">
        <v>0</v>
      </c>
      <c r="Y88" s="128">
        <v>0</v>
      </c>
      <c r="Z88" s="128">
        <f>L98*1.2*R88*S88*T88</f>
        <v>4315.5287568000003</v>
      </c>
      <c r="AA88" s="128">
        <f>L88*1.2*R88*S88*T88*U88</f>
        <v>55341.249811533489</v>
      </c>
      <c r="AB88" s="128">
        <v>0</v>
      </c>
      <c r="AC88" s="128">
        <v>0</v>
      </c>
      <c r="AD88" s="128">
        <f>SUM(L88:L98)*1.2</f>
        <v>62153.93645999999</v>
      </c>
      <c r="AE88" s="128">
        <f>AD88*AG88*AH88*AI88</f>
        <v>73882.982936717992</v>
      </c>
      <c r="AF88" s="128">
        <f>AM88+AN88+AO88+AP88+AQ88+AR88</f>
        <v>77432.767978055388</v>
      </c>
      <c r="AG88" s="124">
        <v>1.0680000000000001</v>
      </c>
      <c r="AH88" s="124">
        <v>1.056</v>
      </c>
      <c r="AI88" s="124">
        <v>1.054</v>
      </c>
      <c r="AJ88" s="124">
        <v>1.0509999999999999</v>
      </c>
      <c r="AK88" s="124">
        <v>1.0489999999999999</v>
      </c>
      <c r="AL88" s="124">
        <v>1.0469999999999999</v>
      </c>
      <c r="AM88" s="128">
        <v>0</v>
      </c>
      <c r="AN88" s="128">
        <v>0</v>
      </c>
      <c r="AO88" s="128">
        <f>L98*1.2*AG88*AH88*AI88</f>
        <v>4279.3546752000002</v>
      </c>
      <c r="AP88" s="128">
        <f>SUM(L88:L97)*1.2*AG88*AH88*AI88*AJ88</f>
        <v>73153.413302855392</v>
      </c>
      <c r="AQ88" s="128">
        <v>0</v>
      </c>
      <c r="AR88" s="128">
        <v>0</v>
      </c>
      <c r="AS88" s="128">
        <v>3600</v>
      </c>
      <c r="AT88" s="128">
        <v>4165.8256151999994</v>
      </c>
      <c r="AU88" s="124">
        <v>1.0740000000000001</v>
      </c>
      <c r="AV88" s="124">
        <v>1.0369999999999999</v>
      </c>
      <c r="AW88" s="124">
        <v>1.0389999999999999</v>
      </c>
      <c r="AX88" s="128">
        <v>0</v>
      </c>
      <c r="AY88" s="128">
        <v>0</v>
      </c>
      <c r="AZ88" s="128">
        <v>4165.8256151999994</v>
      </c>
      <c r="BA88" s="128">
        <f>AS9-O9</f>
        <v>0</v>
      </c>
    </row>
    <row r="89" spans="1:54" ht="75" customHeight="1" x14ac:dyDescent="0.25">
      <c r="A89" s="114"/>
      <c r="B89" s="133"/>
      <c r="C89" s="117"/>
      <c r="D89" s="89" t="s">
        <v>102</v>
      </c>
      <c r="E89" s="89" t="s">
        <v>249</v>
      </c>
      <c r="F89" s="89">
        <v>18</v>
      </c>
      <c r="G89" s="29" t="s">
        <v>290</v>
      </c>
      <c r="H89" s="87">
        <v>180</v>
      </c>
      <c r="I89" s="87">
        <v>3240</v>
      </c>
      <c r="J89" s="87" t="s">
        <v>100</v>
      </c>
      <c r="K89" s="30">
        <v>1.04</v>
      </c>
      <c r="L89" s="87">
        <v>3369.6</v>
      </c>
      <c r="M89" s="129"/>
      <c r="N89" s="129"/>
      <c r="O89" s="129"/>
      <c r="P89" s="129"/>
      <c r="Q89" s="129"/>
      <c r="R89" s="125"/>
      <c r="S89" s="125"/>
      <c r="T89" s="125"/>
      <c r="U89" s="125"/>
      <c r="V89" s="125"/>
      <c r="W89" s="125"/>
      <c r="X89" s="129"/>
      <c r="Y89" s="129"/>
      <c r="Z89" s="129"/>
      <c r="AA89" s="129"/>
      <c r="AB89" s="129"/>
      <c r="AC89" s="129"/>
      <c r="AD89" s="129"/>
      <c r="AE89" s="129"/>
      <c r="AF89" s="129"/>
      <c r="AG89" s="125"/>
      <c r="AH89" s="125"/>
      <c r="AI89" s="125"/>
      <c r="AJ89" s="125"/>
      <c r="AK89" s="125"/>
      <c r="AL89" s="125"/>
      <c r="AM89" s="129"/>
      <c r="AN89" s="129"/>
      <c r="AO89" s="129"/>
      <c r="AP89" s="129"/>
      <c r="AQ89" s="129"/>
      <c r="AR89" s="129"/>
      <c r="AS89" s="129"/>
      <c r="AT89" s="129"/>
      <c r="AU89" s="125"/>
      <c r="AV89" s="125"/>
      <c r="AW89" s="125"/>
      <c r="AX89" s="129"/>
      <c r="AY89" s="129"/>
      <c r="AZ89" s="129"/>
      <c r="BA89" s="129"/>
    </row>
    <row r="90" spans="1:54" ht="75" customHeight="1" x14ac:dyDescent="0.25">
      <c r="A90" s="114"/>
      <c r="B90" s="133"/>
      <c r="C90" s="117"/>
      <c r="D90" s="89" t="s">
        <v>117</v>
      </c>
      <c r="E90" s="89" t="s">
        <v>249</v>
      </c>
      <c r="F90" s="89">
        <v>1</v>
      </c>
      <c r="G90" s="29" t="s">
        <v>118</v>
      </c>
      <c r="H90" s="87">
        <v>1571</v>
      </c>
      <c r="I90" s="87">
        <v>1571</v>
      </c>
      <c r="J90" s="87" t="s">
        <v>234</v>
      </c>
      <c r="K90" s="30">
        <v>1.04</v>
      </c>
      <c r="L90" s="87">
        <v>1633.8400000000001</v>
      </c>
      <c r="M90" s="129"/>
      <c r="N90" s="129"/>
      <c r="O90" s="129"/>
      <c r="P90" s="129"/>
      <c r="Q90" s="129"/>
      <c r="R90" s="125"/>
      <c r="S90" s="125"/>
      <c r="T90" s="125"/>
      <c r="U90" s="125"/>
      <c r="V90" s="125"/>
      <c r="W90" s="125"/>
      <c r="X90" s="129"/>
      <c r="Y90" s="129"/>
      <c r="Z90" s="129"/>
      <c r="AA90" s="129"/>
      <c r="AB90" s="129"/>
      <c r="AC90" s="129"/>
      <c r="AD90" s="129"/>
      <c r="AE90" s="129"/>
      <c r="AF90" s="129"/>
      <c r="AG90" s="125"/>
      <c r="AH90" s="125"/>
      <c r="AI90" s="125"/>
      <c r="AJ90" s="125"/>
      <c r="AK90" s="125"/>
      <c r="AL90" s="125"/>
      <c r="AM90" s="129"/>
      <c r="AN90" s="129"/>
      <c r="AO90" s="129"/>
      <c r="AP90" s="129"/>
      <c r="AQ90" s="129"/>
      <c r="AR90" s="129"/>
      <c r="AS90" s="129"/>
      <c r="AT90" s="129"/>
      <c r="AU90" s="125"/>
      <c r="AV90" s="125"/>
      <c r="AW90" s="125"/>
      <c r="AX90" s="129"/>
      <c r="AY90" s="129"/>
      <c r="AZ90" s="129"/>
      <c r="BA90" s="129"/>
    </row>
    <row r="91" spans="1:54" ht="75" customHeight="1" x14ac:dyDescent="0.25">
      <c r="A91" s="114"/>
      <c r="B91" s="133"/>
      <c r="C91" s="117"/>
      <c r="D91" s="89" t="s">
        <v>291</v>
      </c>
      <c r="E91" s="89" t="s">
        <v>292</v>
      </c>
      <c r="F91" s="89">
        <v>1.8</v>
      </c>
      <c r="G91" s="29" t="s">
        <v>293</v>
      </c>
      <c r="H91" s="87">
        <v>386</v>
      </c>
      <c r="I91" s="87">
        <v>694.80000000000007</v>
      </c>
      <c r="J91" s="87" t="s">
        <v>92</v>
      </c>
      <c r="K91" s="30">
        <v>1.05</v>
      </c>
      <c r="L91" s="87">
        <v>729.54000000000008</v>
      </c>
      <c r="M91" s="129"/>
      <c r="N91" s="129"/>
      <c r="O91" s="129"/>
      <c r="P91" s="129"/>
      <c r="Q91" s="129"/>
      <c r="R91" s="125"/>
      <c r="S91" s="125"/>
      <c r="T91" s="125"/>
      <c r="U91" s="125"/>
      <c r="V91" s="125"/>
      <c r="W91" s="125"/>
      <c r="X91" s="129"/>
      <c r="Y91" s="129"/>
      <c r="Z91" s="129"/>
      <c r="AA91" s="129"/>
      <c r="AB91" s="129"/>
      <c r="AC91" s="129"/>
      <c r="AD91" s="129"/>
      <c r="AE91" s="129"/>
      <c r="AF91" s="129"/>
      <c r="AG91" s="125"/>
      <c r="AH91" s="125"/>
      <c r="AI91" s="125"/>
      <c r="AJ91" s="125"/>
      <c r="AK91" s="125"/>
      <c r="AL91" s="125"/>
      <c r="AM91" s="129"/>
      <c r="AN91" s="129"/>
      <c r="AO91" s="129"/>
      <c r="AP91" s="129"/>
      <c r="AQ91" s="129"/>
      <c r="AR91" s="129"/>
      <c r="AS91" s="129"/>
      <c r="AT91" s="129"/>
      <c r="AU91" s="125"/>
      <c r="AV91" s="125"/>
      <c r="AW91" s="125"/>
      <c r="AX91" s="129"/>
      <c r="AY91" s="129"/>
      <c r="AZ91" s="129"/>
      <c r="BA91" s="129"/>
    </row>
    <row r="92" spans="1:54" ht="75" customHeight="1" x14ac:dyDescent="0.25">
      <c r="A92" s="114"/>
      <c r="B92" s="133"/>
      <c r="C92" s="117"/>
      <c r="D92" s="89" t="s">
        <v>237</v>
      </c>
      <c r="E92" s="89" t="s">
        <v>34</v>
      </c>
      <c r="F92" s="89">
        <v>0.28999999999999998</v>
      </c>
      <c r="G92" s="29" t="s">
        <v>294</v>
      </c>
      <c r="H92" s="87">
        <v>199</v>
      </c>
      <c r="I92" s="87">
        <v>57.709999999999994</v>
      </c>
      <c r="J92" s="87" t="s">
        <v>152</v>
      </c>
      <c r="K92" s="30">
        <v>1.1200000000000001</v>
      </c>
      <c r="L92" s="87">
        <v>64.635199999999998</v>
      </c>
      <c r="M92" s="129"/>
      <c r="N92" s="129"/>
      <c r="O92" s="129"/>
      <c r="P92" s="129"/>
      <c r="Q92" s="129"/>
      <c r="R92" s="125"/>
      <c r="S92" s="125"/>
      <c r="T92" s="125"/>
      <c r="U92" s="125"/>
      <c r="V92" s="125"/>
      <c r="W92" s="125"/>
      <c r="X92" s="129"/>
      <c r="Y92" s="129"/>
      <c r="Z92" s="129"/>
      <c r="AA92" s="129"/>
      <c r="AB92" s="129"/>
      <c r="AC92" s="129"/>
      <c r="AD92" s="129"/>
      <c r="AE92" s="129"/>
      <c r="AF92" s="129"/>
      <c r="AG92" s="125"/>
      <c r="AH92" s="125"/>
      <c r="AI92" s="125"/>
      <c r="AJ92" s="125"/>
      <c r="AK92" s="125"/>
      <c r="AL92" s="125"/>
      <c r="AM92" s="129"/>
      <c r="AN92" s="129"/>
      <c r="AO92" s="129"/>
      <c r="AP92" s="129"/>
      <c r="AQ92" s="129"/>
      <c r="AR92" s="129"/>
      <c r="AS92" s="129"/>
      <c r="AT92" s="129"/>
      <c r="AU92" s="125"/>
      <c r="AV92" s="125"/>
      <c r="AW92" s="125"/>
      <c r="AX92" s="129"/>
      <c r="AY92" s="129"/>
      <c r="AZ92" s="129"/>
      <c r="BA92" s="129"/>
    </row>
    <row r="93" spans="1:54" ht="75" customHeight="1" x14ac:dyDescent="0.25">
      <c r="A93" s="114"/>
      <c r="B93" s="133"/>
      <c r="C93" s="117"/>
      <c r="D93" s="89" t="s">
        <v>295</v>
      </c>
      <c r="E93" s="89" t="s">
        <v>34</v>
      </c>
      <c r="F93" s="89">
        <v>0.93</v>
      </c>
      <c r="G93" s="29" t="s">
        <v>294</v>
      </c>
      <c r="H93" s="87">
        <v>215</v>
      </c>
      <c r="I93" s="87">
        <v>199.95000000000002</v>
      </c>
      <c r="J93" s="87" t="s">
        <v>152</v>
      </c>
      <c r="K93" s="30">
        <v>1.1200000000000001</v>
      </c>
      <c r="L93" s="87">
        <v>223.94400000000005</v>
      </c>
      <c r="M93" s="129"/>
      <c r="N93" s="129"/>
      <c r="O93" s="129"/>
      <c r="P93" s="129"/>
      <c r="Q93" s="129"/>
      <c r="R93" s="125"/>
      <c r="S93" s="125"/>
      <c r="T93" s="125"/>
      <c r="U93" s="125"/>
      <c r="V93" s="125"/>
      <c r="W93" s="125"/>
      <c r="X93" s="129"/>
      <c r="Y93" s="129"/>
      <c r="Z93" s="129"/>
      <c r="AA93" s="129"/>
      <c r="AB93" s="129"/>
      <c r="AC93" s="129"/>
      <c r="AD93" s="129"/>
      <c r="AE93" s="129"/>
      <c r="AF93" s="129"/>
      <c r="AG93" s="125"/>
      <c r="AH93" s="125"/>
      <c r="AI93" s="125"/>
      <c r="AJ93" s="125"/>
      <c r="AK93" s="125"/>
      <c r="AL93" s="125"/>
      <c r="AM93" s="129"/>
      <c r="AN93" s="129"/>
      <c r="AO93" s="129"/>
      <c r="AP93" s="129"/>
      <c r="AQ93" s="129"/>
      <c r="AR93" s="129"/>
      <c r="AS93" s="129"/>
      <c r="AT93" s="129"/>
      <c r="AU93" s="125"/>
      <c r="AV93" s="125"/>
      <c r="AW93" s="125"/>
      <c r="AX93" s="129"/>
      <c r="AY93" s="129"/>
      <c r="AZ93" s="129"/>
      <c r="BA93" s="129"/>
    </row>
    <row r="94" spans="1:54" ht="75" customHeight="1" x14ac:dyDescent="0.25">
      <c r="A94" s="114"/>
      <c r="B94" s="133"/>
      <c r="C94" s="117"/>
      <c r="D94" s="89" t="s">
        <v>295</v>
      </c>
      <c r="E94" s="89" t="s">
        <v>34</v>
      </c>
      <c r="F94" s="89">
        <v>1.08</v>
      </c>
      <c r="G94" s="29" t="s">
        <v>296</v>
      </c>
      <c r="H94" s="87">
        <v>168</v>
      </c>
      <c r="I94" s="87">
        <v>181.44</v>
      </c>
      <c r="J94" s="87" t="s">
        <v>152</v>
      </c>
      <c r="K94" s="30">
        <v>1.1200000000000001</v>
      </c>
      <c r="L94" s="87">
        <v>203.21280000000002</v>
      </c>
      <c r="M94" s="129"/>
      <c r="N94" s="129"/>
      <c r="O94" s="129"/>
      <c r="P94" s="129"/>
      <c r="Q94" s="129"/>
      <c r="R94" s="125"/>
      <c r="S94" s="125"/>
      <c r="T94" s="125"/>
      <c r="U94" s="125"/>
      <c r="V94" s="125"/>
      <c r="W94" s="125"/>
      <c r="X94" s="129"/>
      <c r="Y94" s="129"/>
      <c r="Z94" s="129"/>
      <c r="AA94" s="129"/>
      <c r="AB94" s="129"/>
      <c r="AC94" s="129"/>
      <c r="AD94" s="129"/>
      <c r="AE94" s="129"/>
      <c r="AF94" s="129"/>
      <c r="AG94" s="125"/>
      <c r="AH94" s="125"/>
      <c r="AI94" s="125"/>
      <c r="AJ94" s="125"/>
      <c r="AK94" s="125"/>
      <c r="AL94" s="125"/>
      <c r="AM94" s="129"/>
      <c r="AN94" s="129"/>
      <c r="AO94" s="129"/>
      <c r="AP94" s="129"/>
      <c r="AQ94" s="129"/>
      <c r="AR94" s="129"/>
      <c r="AS94" s="129"/>
      <c r="AT94" s="129"/>
      <c r="AU94" s="125"/>
      <c r="AV94" s="125"/>
      <c r="AW94" s="125"/>
      <c r="AX94" s="129"/>
      <c r="AY94" s="129"/>
      <c r="AZ94" s="129"/>
      <c r="BA94" s="129"/>
    </row>
    <row r="95" spans="1:54" ht="75" customHeight="1" x14ac:dyDescent="0.25">
      <c r="A95" s="114"/>
      <c r="B95" s="133"/>
      <c r="C95" s="117"/>
      <c r="D95" s="89" t="s">
        <v>297</v>
      </c>
      <c r="E95" s="89" t="s">
        <v>34</v>
      </c>
      <c r="F95" s="89">
        <v>0.125</v>
      </c>
      <c r="G95" s="29" t="s">
        <v>298</v>
      </c>
      <c r="H95" s="87">
        <v>539</v>
      </c>
      <c r="I95" s="87">
        <v>67.375</v>
      </c>
      <c r="J95" s="87" t="s">
        <v>284</v>
      </c>
      <c r="K95" s="30">
        <v>1.1200000000000001</v>
      </c>
      <c r="L95" s="87">
        <v>1953.6583500000004</v>
      </c>
      <c r="M95" s="129"/>
      <c r="N95" s="129"/>
      <c r="O95" s="129"/>
      <c r="P95" s="129"/>
      <c r="Q95" s="129"/>
      <c r="R95" s="125"/>
      <c r="S95" s="125"/>
      <c r="T95" s="125"/>
      <c r="U95" s="125"/>
      <c r="V95" s="125"/>
      <c r="W95" s="125"/>
      <c r="X95" s="129"/>
      <c r="Y95" s="129"/>
      <c r="Z95" s="129"/>
      <c r="AA95" s="129"/>
      <c r="AB95" s="129"/>
      <c r="AC95" s="129"/>
      <c r="AD95" s="129"/>
      <c r="AE95" s="129"/>
      <c r="AF95" s="129"/>
      <c r="AG95" s="125"/>
      <c r="AH95" s="125"/>
      <c r="AI95" s="125"/>
      <c r="AJ95" s="125"/>
      <c r="AK95" s="125"/>
      <c r="AL95" s="125"/>
      <c r="AM95" s="129"/>
      <c r="AN95" s="129"/>
      <c r="AO95" s="129"/>
      <c r="AP95" s="129"/>
      <c r="AQ95" s="129"/>
      <c r="AR95" s="129"/>
      <c r="AS95" s="129"/>
      <c r="AT95" s="129"/>
      <c r="AU95" s="125"/>
      <c r="AV95" s="125"/>
      <c r="AW95" s="125"/>
      <c r="AX95" s="129"/>
      <c r="AY95" s="129"/>
      <c r="AZ95" s="129"/>
      <c r="BA95" s="129"/>
    </row>
    <row r="96" spans="1:54" ht="75" customHeight="1" x14ac:dyDescent="0.25">
      <c r="A96" s="114"/>
      <c r="B96" s="133"/>
      <c r="C96" s="117"/>
      <c r="D96" s="89" t="s">
        <v>142</v>
      </c>
      <c r="E96" s="89" t="s">
        <v>34</v>
      </c>
      <c r="F96" s="89">
        <v>0.33700000000000002</v>
      </c>
      <c r="G96" s="29" t="s">
        <v>299</v>
      </c>
      <c r="H96" s="87">
        <v>2160</v>
      </c>
      <c r="I96" s="87">
        <v>727.92000000000007</v>
      </c>
      <c r="J96" s="87" t="s">
        <v>284</v>
      </c>
      <c r="K96" s="30">
        <v>1.1200000000000001</v>
      </c>
      <c r="L96" s="87">
        <v>1953.6583500000004</v>
      </c>
      <c r="M96" s="129"/>
      <c r="N96" s="129"/>
      <c r="O96" s="129"/>
      <c r="P96" s="129"/>
      <c r="Q96" s="129"/>
      <c r="R96" s="125"/>
      <c r="S96" s="125"/>
      <c r="T96" s="125"/>
      <c r="U96" s="125"/>
      <c r="V96" s="125"/>
      <c r="W96" s="125"/>
      <c r="X96" s="129"/>
      <c r="Y96" s="129"/>
      <c r="Z96" s="129"/>
      <c r="AA96" s="129"/>
      <c r="AB96" s="129"/>
      <c r="AC96" s="129"/>
      <c r="AD96" s="129"/>
      <c r="AE96" s="129"/>
      <c r="AF96" s="129"/>
      <c r="AG96" s="125"/>
      <c r="AH96" s="125"/>
      <c r="AI96" s="125"/>
      <c r="AJ96" s="125"/>
      <c r="AK96" s="125"/>
      <c r="AL96" s="125"/>
      <c r="AM96" s="129"/>
      <c r="AN96" s="129"/>
      <c r="AO96" s="129"/>
      <c r="AP96" s="129"/>
      <c r="AQ96" s="129"/>
      <c r="AR96" s="129"/>
      <c r="AS96" s="129"/>
      <c r="AT96" s="129"/>
      <c r="AU96" s="125"/>
      <c r="AV96" s="125"/>
      <c r="AW96" s="125"/>
      <c r="AX96" s="129"/>
      <c r="AY96" s="129"/>
      <c r="AZ96" s="129"/>
      <c r="BA96" s="129"/>
    </row>
    <row r="97" spans="1:53" ht="75" customHeight="1" x14ac:dyDescent="0.25">
      <c r="A97" s="114"/>
      <c r="B97" s="133"/>
      <c r="C97" s="117"/>
      <c r="D97" s="89" t="s">
        <v>300</v>
      </c>
      <c r="E97" s="89" t="s">
        <v>34</v>
      </c>
      <c r="F97" s="89">
        <v>0.13300000000000001</v>
      </c>
      <c r="G97" s="29" t="s">
        <v>301</v>
      </c>
      <c r="H97" s="87">
        <v>2214</v>
      </c>
      <c r="I97" s="87">
        <v>294.46199999999999</v>
      </c>
      <c r="J97" s="87" t="s">
        <v>284</v>
      </c>
      <c r="K97" s="30">
        <v>1.1200000000000001</v>
      </c>
      <c r="L97" s="87">
        <v>1953.6583500000004</v>
      </c>
      <c r="M97" s="129"/>
      <c r="N97" s="129"/>
      <c r="O97" s="129"/>
      <c r="P97" s="129"/>
      <c r="Q97" s="129"/>
      <c r="R97" s="125"/>
      <c r="S97" s="125"/>
      <c r="T97" s="125"/>
      <c r="U97" s="125"/>
      <c r="V97" s="125"/>
      <c r="W97" s="125"/>
      <c r="X97" s="129"/>
      <c r="Y97" s="129"/>
      <c r="Z97" s="129"/>
      <c r="AA97" s="129"/>
      <c r="AB97" s="129"/>
      <c r="AC97" s="129"/>
      <c r="AD97" s="129"/>
      <c r="AE97" s="129"/>
      <c r="AF97" s="129"/>
      <c r="AG97" s="125"/>
      <c r="AH97" s="125"/>
      <c r="AI97" s="125"/>
      <c r="AJ97" s="125"/>
      <c r="AK97" s="125"/>
      <c r="AL97" s="125"/>
      <c r="AM97" s="129"/>
      <c r="AN97" s="129"/>
      <c r="AO97" s="129"/>
      <c r="AP97" s="129"/>
      <c r="AQ97" s="129"/>
      <c r="AR97" s="129"/>
      <c r="AS97" s="129"/>
      <c r="AT97" s="129"/>
      <c r="AU97" s="125"/>
      <c r="AV97" s="125"/>
      <c r="AW97" s="125"/>
      <c r="AX97" s="129"/>
      <c r="AY97" s="129"/>
      <c r="AZ97" s="129"/>
      <c r="BA97" s="129"/>
    </row>
    <row r="98" spans="1:53" ht="45" customHeight="1" x14ac:dyDescent="0.25">
      <c r="A98" s="103"/>
      <c r="B98" s="134"/>
      <c r="C98" s="109"/>
      <c r="D98" s="89" t="s">
        <v>105</v>
      </c>
      <c r="E98" s="89" t="s">
        <v>41</v>
      </c>
      <c r="F98" s="89">
        <v>1</v>
      </c>
      <c r="G98" s="29" t="s">
        <v>186</v>
      </c>
      <c r="H98" s="87">
        <v>3000</v>
      </c>
      <c r="I98" s="87">
        <f t="shared" si="28"/>
        <v>3000</v>
      </c>
      <c r="J98" s="87" t="s">
        <v>36</v>
      </c>
      <c r="K98" s="30" t="s">
        <v>36</v>
      </c>
      <c r="L98" s="87">
        <f>I98</f>
        <v>3000</v>
      </c>
      <c r="M98" s="130"/>
      <c r="N98" s="130"/>
      <c r="O98" s="130"/>
      <c r="P98" s="130"/>
      <c r="Q98" s="130"/>
      <c r="R98" s="126"/>
      <c r="S98" s="126"/>
      <c r="T98" s="126"/>
      <c r="U98" s="126"/>
      <c r="V98" s="126"/>
      <c r="W98" s="126"/>
      <c r="X98" s="130"/>
      <c r="Y98" s="130"/>
      <c r="Z98" s="130"/>
      <c r="AA98" s="130"/>
      <c r="AB98" s="130"/>
      <c r="AC98" s="130"/>
      <c r="AD98" s="130"/>
      <c r="AE98" s="130"/>
      <c r="AF98" s="130"/>
      <c r="AG98" s="126"/>
      <c r="AH98" s="126"/>
      <c r="AI98" s="126"/>
      <c r="AJ98" s="126"/>
      <c r="AK98" s="126"/>
      <c r="AL98" s="126"/>
      <c r="AM98" s="130"/>
      <c r="AN98" s="130"/>
      <c r="AO98" s="130"/>
      <c r="AP98" s="130"/>
      <c r="AQ98" s="130"/>
      <c r="AR98" s="130"/>
      <c r="AS98" s="130"/>
      <c r="AT98" s="130"/>
      <c r="AU98" s="126"/>
      <c r="AV98" s="126"/>
      <c r="AW98" s="126"/>
      <c r="AX98" s="130"/>
      <c r="AY98" s="130"/>
      <c r="AZ98" s="130"/>
      <c r="BA98" s="130"/>
    </row>
    <row r="99" spans="1:53" ht="76.5" customHeight="1" x14ac:dyDescent="0.25">
      <c r="A99" s="78">
        <v>17</v>
      </c>
      <c r="B99" s="95" t="s">
        <v>272</v>
      </c>
      <c r="C99" s="79">
        <v>110</v>
      </c>
      <c r="D99" s="78" t="s">
        <v>188</v>
      </c>
      <c r="E99" s="48" t="s">
        <v>37</v>
      </c>
      <c r="F99" s="78">
        <v>1</v>
      </c>
      <c r="G99" s="49" t="s">
        <v>189</v>
      </c>
      <c r="H99" s="81">
        <v>28252</v>
      </c>
      <c r="I99" s="81">
        <f t="shared" si="27"/>
        <v>28252</v>
      </c>
      <c r="J99" s="48" t="s">
        <v>92</v>
      </c>
      <c r="K99" s="50">
        <v>1.05</v>
      </c>
      <c r="L99" s="81">
        <f>I99*K99</f>
        <v>29664.600000000002</v>
      </c>
      <c r="M99" s="81">
        <f>L99</f>
        <v>29664.600000000002</v>
      </c>
      <c r="N99" s="81">
        <f t="shared" ref="N99:N104" si="29">M99*0.2</f>
        <v>5932.920000000001</v>
      </c>
      <c r="O99" s="81">
        <f t="shared" ref="O99:O104" si="30">M99+N99</f>
        <v>35597.520000000004</v>
      </c>
      <c r="P99" s="81">
        <f>O99*R99*S99</f>
        <v>40602.104141760006</v>
      </c>
      <c r="Q99" s="81">
        <f>X99+Y99+Z99+AA99+AB99</f>
        <v>44721.106402733276</v>
      </c>
      <c r="R99" s="82">
        <v>1.0740000000000001</v>
      </c>
      <c r="S99" s="82">
        <v>1.0620000000000001</v>
      </c>
      <c r="T99" s="82">
        <v>1.0509999999999999</v>
      </c>
      <c r="U99" s="82">
        <v>1.048</v>
      </c>
      <c r="V99" s="82">
        <v>1.0469999999999999</v>
      </c>
      <c r="W99" s="82">
        <v>1.0469999999999999</v>
      </c>
      <c r="X99" s="81">
        <v>0</v>
      </c>
      <c r="Y99" s="81">
        <v>0</v>
      </c>
      <c r="Z99" s="81">
        <v>0</v>
      </c>
      <c r="AA99" s="81">
        <f>P99*T99*U99</f>
        <v>44721.106402733276</v>
      </c>
      <c r="AB99" s="81">
        <v>0</v>
      </c>
      <c r="AC99" s="81">
        <v>0</v>
      </c>
      <c r="AD99" s="81" t="s">
        <v>183</v>
      </c>
      <c r="AE99" s="81" t="s">
        <v>183</v>
      </c>
      <c r="AF99" s="81" t="s">
        <v>183</v>
      </c>
      <c r="AG99" s="82" t="s">
        <v>183</v>
      </c>
      <c r="AH99" s="82" t="s">
        <v>183</v>
      </c>
      <c r="AI99" s="82" t="s">
        <v>183</v>
      </c>
      <c r="AJ99" s="82" t="s">
        <v>183</v>
      </c>
      <c r="AK99" s="82" t="s">
        <v>183</v>
      </c>
      <c r="AL99" s="82" t="s">
        <v>183</v>
      </c>
      <c r="AM99" s="81" t="s">
        <v>183</v>
      </c>
      <c r="AN99" s="81" t="s">
        <v>183</v>
      </c>
      <c r="AO99" s="81" t="s">
        <v>183</v>
      </c>
      <c r="AP99" s="81" t="s">
        <v>183</v>
      </c>
      <c r="AQ99" s="81" t="s">
        <v>183</v>
      </c>
      <c r="AR99" s="81" t="s">
        <v>183</v>
      </c>
      <c r="AS99" s="87" t="s">
        <v>183</v>
      </c>
      <c r="AT99" s="87" t="s">
        <v>183</v>
      </c>
      <c r="AU99" s="87" t="s">
        <v>183</v>
      </c>
      <c r="AV99" s="87" t="s">
        <v>183</v>
      </c>
      <c r="AW99" s="87" t="s">
        <v>183</v>
      </c>
      <c r="AX99" s="87" t="s">
        <v>183</v>
      </c>
      <c r="AY99" s="87" t="s">
        <v>183</v>
      </c>
      <c r="AZ99" s="87" t="s">
        <v>183</v>
      </c>
      <c r="BA99" s="85">
        <f>AS9-O9</f>
        <v>0</v>
      </c>
    </row>
    <row r="100" spans="1:53" s="71" customFormat="1" ht="80.25" customHeight="1" x14ac:dyDescent="0.25">
      <c r="A100" s="89">
        <v>18</v>
      </c>
      <c r="B100" s="92" t="s">
        <v>273</v>
      </c>
      <c r="C100" s="88">
        <v>35</v>
      </c>
      <c r="D100" s="89" t="s">
        <v>158</v>
      </c>
      <c r="E100" s="89" t="s">
        <v>33</v>
      </c>
      <c r="F100" s="89">
        <v>6</v>
      </c>
      <c r="G100" s="92" t="s">
        <v>185</v>
      </c>
      <c r="H100" s="87">
        <v>5533</v>
      </c>
      <c r="I100" s="87">
        <f t="shared" si="27"/>
        <v>33198</v>
      </c>
      <c r="J100" s="87" t="s">
        <v>59</v>
      </c>
      <c r="K100" s="30">
        <v>1.03</v>
      </c>
      <c r="L100" s="87">
        <f>I100*K100</f>
        <v>34193.94</v>
      </c>
      <c r="M100" s="81">
        <f>L100</f>
        <v>34193.94</v>
      </c>
      <c r="N100" s="81">
        <f t="shared" si="29"/>
        <v>6838.7880000000005</v>
      </c>
      <c r="O100" s="81">
        <f t="shared" si="30"/>
        <v>41032.728000000003</v>
      </c>
      <c r="P100" s="90">
        <f t="shared" ref="P100" si="31">O100*R100</f>
        <v>44069.149872000009</v>
      </c>
      <c r="Q100" s="81">
        <f>P100*S100*T100*U100</f>
        <v>51549.349361483968</v>
      </c>
      <c r="R100" s="82">
        <v>1.0740000000000001</v>
      </c>
      <c r="S100" s="82">
        <v>1.0620000000000001</v>
      </c>
      <c r="T100" s="82">
        <v>1.0509999999999999</v>
      </c>
      <c r="U100" s="82">
        <v>1.048</v>
      </c>
      <c r="V100" s="82">
        <v>1.0469999999999999</v>
      </c>
      <c r="W100" s="82">
        <v>1.0469999999999999</v>
      </c>
      <c r="X100" s="81">
        <v>0</v>
      </c>
      <c r="Y100" s="81">
        <v>0</v>
      </c>
      <c r="Z100" s="81">
        <v>0</v>
      </c>
      <c r="AA100" s="81">
        <v>0</v>
      </c>
      <c r="AB100" s="81">
        <f>Q100*R100*S100*T100*U100*V100</f>
        <v>67805.147742386689</v>
      </c>
      <c r="AC100" s="81">
        <v>0</v>
      </c>
      <c r="AD100" s="81">
        <f t="shared" ref="AD100" si="32">O100</f>
        <v>41032.728000000003</v>
      </c>
      <c r="AE100" s="81">
        <f t="shared" ref="AE100" si="33">AD100*AG100*AH100*AI100</f>
        <v>48775.999000836106</v>
      </c>
      <c r="AF100" s="81">
        <f t="shared" ref="AF100" si="34">AM100+AN100+AO100+AP100+AQ100+AR100</f>
        <v>53775.490122422794</v>
      </c>
      <c r="AG100" s="82">
        <v>1.0680000000000001</v>
      </c>
      <c r="AH100" s="82">
        <v>1.056</v>
      </c>
      <c r="AI100" s="82">
        <v>1.054</v>
      </c>
      <c r="AJ100" s="82">
        <v>1.0509999999999999</v>
      </c>
      <c r="AK100" s="82">
        <v>1.0489999999999999</v>
      </c>
      <c r="AL100" s="82">
        <v>1.0469999999999999</v>
      </c>
      <c r="AM100" s="81">
        <v>0</v>
      </c>
      <c r="AN100" s="81">
        <v>0</v>
      </c>
      <c r="AO100" s="81">
        <v>0</v>
      </c>
      <c r="AP100" s="81">
        <v>0</v>
      </c>
      <c r="AQ100" s="81">
        <f>AD100*AG100*AH100*AI100*AJ100*AK100</f>
        <v>53775.490122422794</v>
      </c>
      <c r="AR100" s="81">
        <v>0</v>
      </c>
      <c r="AS100" s="87" t="s">
        <v>183</v>
      </c>
      <c r="AT100" s="87" t="s">
        <v>183</v>
      </c>
      <c r="AU100" s="87" t="s">
        <v>183</v>
      </c>
      <c r="AV100" s="87" t="s">
        <v>183</v>
      </c>
      <c r="AW100" s="87" t="s">
        <v>183</v>
      </c>
      <c r="AX100" s="87" t="s">
        <v>183</v>
      </c>
      <c r="AY100" s="87" t="s">
        <v>183</v>
      </c>
      <c r="AZ100" s="87" t="s">
        <v>183</v>
      </c>
      <c r="BA100" s="84">
        <f>AS9-O9</f>
        <v>0</v>
      </c>
    </row>
    <row r="101" spans="1:53" ht="80.25" customHeight="1" x14ac:dyDescent="0.25">
      <c r="A101" s="78">
        <v>19</v>
      </c>
      <c r="B101" s="94" t="s">
        <v>192</v>
      </c>
      <c r="C101" s="77">
        <v>35</v>
      </c>
      <c r="D101" s="78" t="s">
        <v>190</v>
      </c>
      <c r="E101" s="78" t="s">
        <v>37</v>
      </c>
      <c r="F101" s="78">
        <v>1</v>
      </c>
      <c r="G101" s="95" t="s">
        <v>191</v>
      </c>
      <c r="H101" s="81">
        <v>23169</v>
      </c>
      <c r="I101" s="81">
        <f t="shared" si="27"/>
        <v>23169</v>
      </c>
      <c r="J101" s="81" t="s">
        <v>92</v>
      </c>
      <c r="K101" s="50">
        <v>1.05</v>
      </c>
      <c r="L101" s="81">
        <f t="shared" ref="L101:L103" si="35">I101*K101</f>
        <v>24327.45</v>
      </c>
      <c r="M101" s="81">
        <f>L101</f>
        <v>24327.45</v>
      </c>
      <c r="N101" s="81">
        <f t="shared" si="29"/>
        <v>4865.4900000000007</v>
      </c>
      <c r="O101" s="81">
        <f t="shared" si="30"/>
        <v>29192.940000000002</v>
      </c>
      <c r="P101" s="81">
        <f>O101*R101*S101</f>
        <v>33297.117048720007</v>
      </c>
      <c r="Q101" s="81">
        <f>X101+Y101+Z101+AA101+AB101</f>
        <v>38398.769999095246</v>
      </c>
      <c r="R101" s="82">
        <v>1.0740000000000001</v>
      </c>
      <c r="S101" s="82">
        <v>1.0620000000000001</v>
      </c>
      <c r="T101" s="82">
        <v>1.0509999999999999</v>
      </c>
      <c r="U101" s="82">
        <v>1.048</v>
      </c>
      <c r="V101" s="82">
        <v>1.0469999999999999</v>
      </c>
      <c r="W101" s="82">
        <v>1.0469999999999999</v>
      </c>
      <c r="X101" s="81">
        <v>0</v>
      </c>
      <c r="Y101" s="81">
        <v>0</v>
      </c>
      <c r="Z101" s="81">
        <v>0</v>
      </c>
      <c r="AA101" s="81">
        <v>0</v>
      </c>
      <c r="AB101" s="81">
        <f>P101*T101*U101*V101</f>
        <v>38398.769999095246</v>
      </c>
      <c r="AC101" s="81">
        <v>0</v>
      </c>
      <c r="AD101" s="81">
        <f>O101</f>
        <v>29192.940000000002</v>
      </c>
      <c r="AE101" s="81">
        <f>AD101*AG101*AH101*AI101</f>
        <v>34701.928964398088</v>
      </c>
      <c r="AF101" s="81">
        <f t="shared" ref="AF101:AF104" si="36">AM101+AN101+AO101+AP101+AQ101+AR101</f>
        <v>38258.841981319922</v>
      </c>
      <c r="AG101" s="82">
        <v>1.0680000000000001</v>
      </c>
      <c r="AH101" s="82">
        <v>1.056</v>
      </c>
      <c r="AI101" s="82">
        <v>1.054</v>
      </c>
      <c r="AJ101" s="82">
        <v>1.0509999999999999</v>
      </c>
      <c r="AK101" s="82">
        <v>1.0489999999999999</v>
      </c>
      <c r="AL101" s="82">
        <v>1.0469999999999999</v>
      </c>
      <c r="AM101" s="81">
        <v>0</v>
      </c>
      <c r="AN101" s="81">
        <v>0</v>
      </c>
      <c r="AO101" s="81">
        <v>0</v>
      </c>
      <c r="AP101" s="81">
        <v>0</v>
      </c>
      <c r="AQ101" s="81">
        <f>AD101*AG101*AH101*AI101*AJ101*AK101</f>
        <v>38258.841981319922</v>
      </c>
      <c r="AR101" s="81">
        <v>0</v>
      </c>
      <c r="AS101" s="81" t="s">
        <v>183</v>
      </c>
      <c r="AT101" s="81" t="s">
        <v>183</v>
      </c>
      <c r="AU101" s="81" t="s">
        <v>183</v>
      </c>
      <c r="AV101" s="81" t="s">
        <v>183</v>
      </c>
      <c r="AW101" s="81" t="s">
        <v>183</v>
      </c>
      <c r="AX101" s="81" t="s">
        <v>183</v>
      </c>
      <c r="AY101" s="81" t="s">
        <v>183</v>
      </c>
      <c r="AZ101" s="81" t="s">
        <v>183</v>
      </c>
      <c r="BA101" s="84">
        <f>AS9-O9</f>
        <v>0</v>
      </c>
    </row>
    <row r="102" spans="1:53" ht="80.25" customHeight="1" x14ac:dyDescent="0.25">
      <c r="A102" s="78">
        <v>20</v>
      </c>
      <c r="B102" s="93" t="s">
        <v>193</v>
      </c>
      <c r="C102" s="76">
        <v>35</v>
      </c>
      <c r="D102" s="89" t="s">
        <v>194</v>
      </c>
      <c r="E102" s="89" t="s">
        <v>37</v>
      </c>
      <c r="F102" s="89">
        <v>1</v>
      </c>
      <c r="G102" s="92" t="s">
        <v>195</v>
      </c>
      <c r="H102" s="87">
        <v>20978</v>
      </c>
      <c r="I102" s="87">
        <f t="shared" si="27"/>
        <v>20978</v>
      </c>
      <c r="J102" s="87" t="s">
        <v>92</v>
      </c>
      <c r="K102" s="30">
        <v>1.05</v>
      </c>
      <c r="L102" s="87">
        <f t="shared" si="35"/>
        <v>22026.9</v>
      </c>
      <c r="M102" s="81">
        <f>L102</f>
        <v>22026.9</v>
      </c>
      <c r="N102" s="81">
        <f t="shared" si="29"/>
        <v>4405.38</v>
      </c>
      <c r="O102" s="81">
        <f t="shared" si="30"/>
        <v>26432.280000000002</v>
      </c>
      <c r="P102" s="81">
        <f>O102*R102*S102</f>
        <v>30148.341380640006</v>
      </c>
      <c r="Q102" s="81">
        <f>X102+Y102+Z102+AA102+AB102+AC102</f>
        <v>34767.551341923259</v>
      </c>
      <c r="R102" s="82">
        <v>1.0740000000000001</v>
      </c>
      <c r="S102" s="82">
        <v>1.0620000000000001</v>
      </c>
      <c r="T102" s="82">
        <v>1.0509999999999999</v>
      </c>
      <c r="U102" s="82">
        <v>1.048</v>
      </c>
      <c r="V102" s="82">
        <v>1.0469999999999999</v>
      </c>
      <c r="W102" s="82">
        <v>1.0469999999999999</v>
      </c>
      <c r="X102" s="81">
        <v>0</v>
      </c>
      <c r="Y102" s="81">
        <v>0</v>
      </c>
      <c r="Z102" s="81">
        <v>0</v>
      </c>
      <c r="AA102" s="81">
        <v>0</v>
      </c>
      <c r="AB102" s="81">
        <f>P102*T102*U102*V102</f>
        <v>34767.551341923259</v>
      </c>
      <c r="AC102" s="81">
        <v>0</v>
      </c>
      <c r="AD102" s="81">
        <f t="shared" ref="AD102:AD104" si="37">O102</f>
        <v>26432.280000000002</v>
      </c>
      <c r="AE102" s="81">
        <f t="shared" ref="AE102:AE104" si="38">AD102*AG102*AH102*AI102</f>
        <v>31420.305831720969</v>
      </c>
      <c r="AF102" s="81">
        <f t="shared" si="36"/>
        <v>34640.855759166538</v>
      </c>
      <c r="AG102" s="82">
        <v>1.0680000000000001</v>
      </c>
      <c r="AH102" s="82">
        <v>1.056</v>
      </c>
      <c r="AI102" s="82">
        <v>1.054</v>
      </c>
      <c r="AJ102" s="82">
        <v>1.0509999999999999</v>
      </c>
      <c r="AK102" s="82">
        <v>1.0489999999999999</v>
      </c>
      <c r="AL102" s="82">
        <v>1.0469999999999999</v>
      </c>
      <c r="AM102" s="81">
        <v>0</v>
      </c>
      <c r="AN102" s="81">
        <v>0</v>
      </c>
      <c r="AO102" s="81">
        <v>0</v>
      </c>
      <c r="AP102" s="81">
        <v>0</v>
      </c>
      <c r="AQ102" s="81">
        <f>AD102*AG102*AH102*AI102*AJ102*AK102</f>
        <v>34640.855759166538</v>
      </c>
      <c r="AR102" s="81">
        <v>0</v>
      </c>
      <c r="AS102" s="87" t="s">
        <v>183</v>
      </c>
      <c r="AT102" s="87" t="s">
        <v>183</v>
      </c>
      <c r="AU102" s="87" t="s">
        <v>183</v>
      </c>
      <c r="AV102" s="87" t="s">
        <v>183</v>
      </c>
      <c r="AW102" s="87" t="s">
        <v>183</v>
      </c>
      <c r="AX102" s="87" t="s">
        <v>183</v>
      </c>
      <c r="AY102" s="87" t="s">
        <v>183</v>
      </c>
      <c r="AZ102" s="87" t="s">
        <v>183</v>
      </c>
      <c r="BA102" s="84">
        <f>AS9-O9</f>
        <v>0</v>
      </c>
    </row>
    <row r="103" spans="1:53" ht="80.25" customHeight="1" x14ac:dyDescent="0.25">
      <c r="A103" s="78">
        <v>21</v>
      </c>
      <c r="B103" s="93" t="s">
        <v>196</v>
      </c>
      <c r="C103" s="76">
        <v>35</v>
      </c>
      <c r="D103" s="89" t="s">
        <v>194</v>
      </c>
      <c r="E103" s="89" t="s">
        <v>37</v>
      </c>
      <c r="F103" s="89">
        <v>1</v>
      </c>
      <c r="G103" s="92" t="s">
        <v>195</v>
      </c>
      <c r="H103" s="87">
        <v>20978</v>
      </c>
      <c r="I103" s="87">
        <f t="shared" si="27"/>
        <v>20978</v>
      </c>
      <c r="J103" s="87" t="s">
        <v>92</v>
      </c>
      <c r="K103" s="30">
        <v>1.05</v>
      </c>
      <c r="L103" s="87">
        <f t="shared" si="35"/>
        <v>22026.9</v>
      </c>
      <c r="M103" s="81">
        <f>L103</f>
        <v>22026.9</v>
      </c>
      <c r="N103" s="81">
        <f t="shared" si="29"/>
        <v>4405.38</v>
      </c>
      <c r="O103" s="81">
        <f t="shared" si="30"/>
        <v>26432.280000000002</v>
      </c>
      <c r="P103" s="81">
        <f>O103*R103*S103</f>
        <v>30148.341380640006</v>
      </c>
      <c r="Q103" s="81">
        <f>X103+Y103+Z103+AA103+AB103+AC103</f>
        <v>34767.551341923259</v>
      </c>
      <c r="R103" s="82">
        <v>1.0740000000000001</v>
      </c>
      <c r="S103" s="82">
        <v>1.0620000000000001</v>
      </c>
      <c r="T103" s="82">
        <v>1.0509999999999999</v>
      </c>
      <c r="U103" s="82">
        <v>1.048</v>
      </c>
      <c r="V103" s="82">
        <v>1.0469999999999999</v>
      </c>
      <c r="W103" s="82">
        <v>1.0469999999999999</v>
      </c>
      <c r="X103" s="81">
        <v>0</v>
      </c>
      <c r="Y103" s="81">
        <v>0</v>
      </c>
      <c r="Z103" s="81">
        <v>0</v>
      </c>
      <c r="AA103" s="81">
        <v>0</v>
      </c>
      <c r="AB103" s="81">
        <f>P103*T103*U103*V103</f>
        <v>34767.551341923259</v>
      </c>
      <c r="AC103" s="81">
        <v>0</v>
      </c>
      <c r="AD103" s="81">
        <f t="shared" si="37"/>
        <v>26432.280000000002</v>
      </c>
      <c r="AE103" s="81">
        <f t="shared" si="38"/>
        <v>31420.305831720969</v>
      </c>
      <c r="AF103" s="81">
        <f t="shared" si="36"/>
        <v>34640.855759166538</v>
      </c>
      <c r="AG103" s="82">
        <v>1.0680000000000001</v>
      </c>
      <c r="AH103" s="82">
        <v>1.056</v>
      </c>
      <c r="AI103" s="82">
        <v>1.054</v>
      </c>
      <c r="AJ103" s="82">
        <v>1.0509999999999999</v>
      </c>
      <c r="AK103" s="82">
        <v>1.0489999999999999</v>
      </c>
      <c r="AL103" s="82">
        <v>1.0469999999999999</v>
      </c>
      <c r="AM103" s="81">
        <v>0</v>
      </c>
      <c r="AN103" s="81">
        <v>0</v>
      </c>
      <c r="AO103" s="81">
        <v>0</v>
      </c>
      <c r="AP103" s="81">
        <v>0</v>
      </c>
      <c r="AQ103" s="81">
        <f>AD103*AG103*AH103*AI103*AJ103*AK103</f>
        <v>34640.855759166538</v>
      </c>
      <c r="AR103" s="81">
        <v>0</v>
      </c>
      <c r="AS103" s="87" t="s">
        <v>183</v>
      </c>
      <c r="AT103" s="87" t="s">
        <v>183</v>
      </c>
      <c r="AU103" s="87" t="s">
        <v>183</v>
      </c>
      <c r="AV103" s="87" t="s">
        <v>183</v>
      </c>
      <c r="AW103" s="87" t="s">
        <v>183</v>
      </c>
      <c r="AX103" s="87" t="s">
        <v>183</v>
      </c>
      <c r="AY103" s="87" t="s">
        <v>183</v>
      </c>
      <c r="AZ103" s="87" t="s">
        <v>183</v>
      </c>
      <c r="BA103" s="84">
        <f>AS9-O9</f>
        <v>0</v>
      </c>
    </row>
    <row r="104" spans="1:53" ht="75" customHeight="1" x14ac:dyDescent="0.25">
      <c r="A104" s="194">
        <v>22</v>
      </c>
      <c r="B104" s="132" t="s">
        <v>197</v>
      </c>
      <c r="C104" s="108">
        <v>35</v>
      </c>
      <c r="D104" s="89" t="s">
        <v>198</v>
      </c>
      <c r="E104" s="89" t="s">
        <v>33</v>
      </c>
      <c r="F104" s="89">
        <v>5</v>
      </c>
      <c r="G104" s="92" t="s">
        <v>199</v>
      </c>
      <c r="H104" s="87">
        <v>9040</v>
      </c>
      <c r="I104" s="87">
        <f t="shared" si="27"/>
        <v>45200</v>
      </c>
      <c r="J104" s="87" t="s">
        <v>59</v>
      </c>
      <c r="K104" s="30">
        <v>1.03</v>
      </c>
      <c r="L104" s="87">
        <f>I104*K104</f>
        <v>46556</v>
      </c>
      <c r="M104" s="128">
        <f>L104+L105+L106</f>
        <v>55591.839999999997</v>
      </c>
      <c r="N104" s="128">
        <f t="shared" si="29"/>
        <v>11118.368</v>
      </c>
      <c r="O104" s="128">
        <f t="shared" si="30"/>
        <v>66710.207999999999</v>
      </c>
      <c r="P104" s="128">
        <f>O104*R104*S104</f>
        <v>76088.862722304009</v>
      </c>
      <c r="Q104" s="128">
        <f>P104*T104*U104*V104</f>
        <v>87746.89817414085</v>
      </c>
      <c r="R104" s="124">
        <v>1.0740000000000001</v>
      </c>
      <c r="S104" s="124">
        <v>1.0620000000000001</v>
      </c>
      <c r="T104" s="124">
        <v>1.0509999999999999</v>
      </c>
      <c r="U104" s="124">
        <v>1.048</v>
      </c>
      <c r="V104" s="124">
        <v>1.0469999999999999</v>
      </c>
      <c r="W104" s="124">
        <v>1.0469999999999999</v>
      </c>
      <c r="X104" s="128">
        <v>0</v>
      </c>
      <c r="Y104" s="128">
        <v>0</v>
      </c>
      <c r="Z104" s="128">
        <v>0</v>
      </c>
      <c r="AA104" s="128">
        <v>0</v>
      </c>
      <c r="AB104" s="128">
        <f>Q104</f>
        <v>87746.89817414085</v>
      </c>
      <c r="AC104" s="128">
        <v>0</v>
      </c>
      <c r="AD104" s="128">
        <f t="shared" si="37"/>
        <v>66710.207999999999</v>
      </c>
      <c r="AE104" s="128">
        <f t="shared" si="38"/>
        <v>79299.066802323461</v>
      </c>
      <c r="AF104" s="128">
        <f t="shared" si="36"/>
        <v>87427.141850494794</v>
      </c>
      <c r="AG104" s="124">
        <v>1.0680000000000001</v>
      </c>
      <c r="AH104" s="124">
        <v>1.056</v>
      </c>
      <c r="AI104" s="124">
        <v>1.054</v>
      </c>
      <c r="AJ104" s="124">
        <v>1.0509999999999999</v>
      </c>
      <c r="AK104" s="124">
        <v>1.0489999999999999</v>
      </c>
      <c r="AL104" s="124">
        <v>1.0469999999999999</v>
      </c>
      <c r="AM104" s="128">
        <v>0</v>
      </c>
      <c r="AN104" s="128">
        <v>0</v>
      </c>
      <c r="AO104" s="128">
        <v>0</v>
      </c>
      <c r="AP104" s="128">
        <v>0</v>
      </c>
      <c r="AQ104" s="128">
        <f>AD104*AG104*AH104*AI104*AJ104*AK104</f>
        <v>87427.141850494794</v>
      </c>
      <c r="AR104" s="128">
        <v>0</v>
      </c>
      <c r="AS104" s="87" t="s">
        <v>183</v>
      </c>
      <c r="AT104" s="87" t="s">
        <v>183</v>
      </c>
      <c r="AU104" s="87" t="s">
        <v>183</v>
      </c>
      <c r="AV104" s="87" t="s">
        <v>183</v>
      </c>
      <c r="AW104" s="87" t="s">
        <v>183</v>
      </c>
      <c r="AX104" s="87" t="s">
        <v>183</v>
      </c>
      <c r="AY104" s="87" t="s">
        <v>183</v>
      </c>
      <c r="AZ104" s="87" t="s">
        <v>183</v>
      </c>
      <c r="BA104" s="84">
        <f>AS9-O9</f>
        <v>0</v>
      </c>
    </row>
    <row r="105" spans="1:53" ht="75" customHeight="1" x14ac:dyDescent="0.25">
      <c r="A105" s="195"/>
      <c r="B105" s="133"/>
      <c r="C105" s="117"/>
      <c r="D105" s="89" t="s">
        <v>200</v>
      </c>
      <c r="E105" s="89" t="s">
        <v>33</v>
      </c>
      <c r="F105" s="89">
        <v>1</v>
      </c>
      <c r="G105" s="92" t="s">
        <v>201</v>
      </c>
      <c r="H105" s="87">
        <v>1996</v>
      </c>
      <c r="I105" s="87">
        <f t="shared" si="27"/>
        <v>1996</v>
      </c>
      <c r="J105" s="87" t="s">
        <v>100</v>
      </c>
      <c r="K105" s="30">
        <v>1.04</v>
      </c>
      <c r="L105" s="87">
        <f t="shared" ref="L105" si="39">I105*K105</f>
        <v>2075.84</v>
      </c>
      <c r="M105" s="129"/>
      <c r="N105" s="129"/>
      <c r="O105" s="129"/>
      <c r="P105" s="129"/>
      <c r="Q105" s="129"/>
      <c r="R105" s="125"/>
      <c r="S105" s="125"/>
      <c r="T105" s="125"/>
      <c r="U105" s="125"/>
      <c r="V105" s="125"/>
      <c r="W105" s="125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5"/>
      <c r="AH105" s="125"/>
      <c r="AI105" s="125"/>
      <c r="AJ105" s="125"/>
      <c r="AK105" s="125"/>
      <c r="AL105" s="125"/>
      <c r="AM105" s="129"/>
      <c r="AN105" s="129"/>
      <c r="AO105" s="129"/>
      <c r="AP105" s="129"/>
      <c r="AQ105" s="129"/>
      <c r="AR105" s="129"/>
      <c r="AS105" s="87" t="s">
        <v>183</v>
      </c>
      <c r="AT105" s="87" t="s">
        <v>183</v>
      </c>
      <c r="AU105" s="87" t="s">
        <v>183</v>
      </c>
      <c r="AV105" s="87" t="s">
        <v>183</v>
      </c>
      <c r="AW105" s="87" t="s">
        <v>183</v>
      </c>
      <c r="AX105" s="87" t="s">
        <v>183</v>
      </c>
      <c r="AY105" s="87" t="s">
        <v>183</v>
      </c>
      <c r="AZ105" s="87" t="s">
        <v>183</v>
      </c>
      <c r="BA105" s="84">
        <f>AS9-O9</f>
        <v>0</v>
      </c>
    </row>
    <row r="106" spans="1:53" ht="75" customHeight="1" x14ac:dyDescent="0.25">
      <c r="A106" s="196"/>
      <c r="B106" s="134"/>
      <c r="C106" s="109"/>
      <c r="D106" s="89" t="s">
        <v>176</v>
      </c>
      <c r="E106" s="89" t="s">
        <v>33</v>
      </c>
      <c r="F106" s="89">
        <v>5</v>
      </c>
      <c r="G106" s="92" t="s">
        <v>74</v>
      </c>
      <c r="H106" s="87">
        <v>1392</v>
      </c>
      <c r="I106" s="87">
        <f t="shared" si="27"/>
        <v>6960</v>
      </c>
      <c r="J106" s="87" t="s">
        <v>36</v>
      </c>
      <c r="K106" s="30" t="s">
        <v>36</v>
      </c>
      <c r="L106" s="87">
        <f>I106</f>
        <v>6960</v>
      </c>
      <c r="M106" s="130"/>
      <c r="N106" s="130"/>
      <c r="O106" s="130"/>
      <c r="P106" s="130"/>
      <c r="Q106" s="130"/>
      <c r="R106" s="126"/>
      <c r="S106" s="126"/>
      <c r="T106" s="126"/>
      <c r="U106" s="126"/>
      <c r="V106" s="126"/>
      <c r="W106" s="126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26"/>
      <c r="AH106" s="126"/>
      <c r="AI106" s="126"/>
      <c r="AJ106" s="126"/>
      <c r="AK106" s="126"/>
      <c r="AL106" s="126"/>
      <c r="AM106" s="130"/>
      <c r="AN106" s="130"/>
      <c r="AO106" s="130"/>
      <c r="AP106" s="130"/>
      <c r="AQ106" s="130"/>
      <c r="AR106" s="130"/>
      <c r="AS106" s="87" t="s">
        <v>183</v>
      </c>
      <c r="AT106" s="87" t="s">
        <v>183</v>
      </c>
      <c r="AU106" s="87" t="s">
        <v>183</v>
      </c>
      <c r="AV106" s="87" t="s">
        <v>183</v>
      </c>
      <c r="AW106" s="87" t="s">
        <v>183</v>
      </c>
      <c r="AX106" s="87" t="s">
        <v>183</v>
      </c>
      <c r="AY106" s="87" t="s">
        <v>183</v>
      </c>
      <c r="AZ106" s="87" t="s">
        <v>183</v>
      </c>
      <c r="BA106" s="84">
        <f>AS9-O9</f>
        <v>0</v>
      </c>
    </row>
    <row r="107" spans="1:53" ht="32.25" customHeight="1" x14ac:dyDescent="0.25">
      <c r="A107" s="194">
        <v>23</v>
      </c>
      <c r="B107" s="135" t="s">
        <v>202</v>
      </c>
      <c r="C107" s="122">
        <v>6</v>
      </c>
      <c r="D107" s="89" t="s">
        <v>38</v>
      </c>
      <c r="E107" s="89" t="s">
        <v>37</v>
      </c>
      <c r="F107" s="89">
        <v>2</v>
      </c>
      <c r="G107" s="92" t="s">
        <v>39</v>
      </c>
      <c r="H107" s="87">
        <v>1663</v>
      </c>
      <c r="I107" s="87">
        <f t="shared" si="27"/>
        <v>3326</v>
      </c>
      <c r="J107" s="87" t="s">
        <v>54</v>
      </c>
      <c r="K107" s="30">
        <v>1.1000000000000001</v>
      </c>
      <c r="L107" s="87">
        <f>I107*K107</f>
        <v>3658.6000000000004</v>
      </c>
      <c r="M107" s="128">
        <f>L107+L108+L109+L110+L111+L112</f>
        <v>5386.3726500000002</v>
      </c>
      <c r="N107" s="128">
        <f>M107*0.2</f>
        <v>1077.2745300000001</v>
      </c>
      <c r="O107" s="128">
        <f>M107+N107</f>
        <v>6463.6471799999999</v>
      </c>
      <c r="P107" s="128">
        <f>O107*R107*S107</f>
        <v>7372.3584097418407</v>
      </c>
      <c r="Q107" s="128">
        <f>P107*T107*U107*V107</f>
        <v>8501.9220887009178</v>
      </c>
      <c r="R107" s="124">
        <v>1.0740000000000001</v>
      </c>
      <c r="S107" s="124">
        <v>1.0620000000000001</v>
      </c>
      <c r="T107" s="124">
        <v>1.0509999999999999</v>
      </c>
      <c r="U107" s="124">
        <v>1.048</v>
      </c>
      <c r="V107" s="124">
        <v>1.0469999999999999</v>
      </c>
      <c r="W107" s="124">
        <v>1.0469999999999999</v>
      </c>
      <c r="X107" s="128">
        <v>0</v>
      </c>
      <c r="Y107" s="128">
        <v>0</v>
      </c>
      <c r="Z107" s="128">
        <v>0</v>
      </c>
      <c r="AA107" s="128">
        <v>0</v>
      </c>
      <c r="AB107" s="128">
        <f>Q107</f>
        <v>8501.9220887009178</v>
      </c>
      <c r="AC107" s="128">
        <v>0</v>
      </c>
      <c r="AD107" s="128">
        <f>O107</f>
        <v>6463.6471799999999</v>
      </c>
      <c r="AE107" s="128">
        <f>AD107*AG107*AH107*AI107</f>
        <v>7683.3996607156387</v>
      </c>
      <c r="AF107" s="128">
        <f>AM107+AN107+AO107+AP107+AQ107+AR107</f>
        <v>8470.9404425393295</v>
      </c>
      <c r="AG107" s="124">
        <v>1.0680000000000001</v>
      </c>
      <c r="AH107" s="124">
        <v>1.056</v>
      </c>
      <c r="AI107" s="124">
        <v>1.054</v>
      </c>
      <c r="AJ107" s="124">
        <v>1.0509999999999999</v>
      </c>
      <c r="AK107" s="124">
        <v>1.0489999999999999</v>
      </c>
      <c r="AL107" s="124">
        <v>1.0469999999999999</v>
      </c>
      <c r="AM107" s="128">
        <v>0</v>
      </c>
      <c r="AN107" s="128">
        <v>0</v>
      </c>
      <c r="AO107" s="128">
        <v>0</v>
      </c>
      <c r="AP107" s="128">
        <v>0</v>
      </c>
      <c r="AQ107" s="128">
        <f>AD107*AG107*AH107*AI107*AJ107*AK107</f>
        <v>8470.9404425393295</v>
      </c>
      <c r="AR107" s="128">
        <v>0</v>
      </c>
      <c r="AS107" s="87" t="s">
        <v>183</v>
      </c>
      <c r="AT107" s="87" t="s">
        <v>183</v>
      </c>
      <c r="AU107" s="87" t="s">
        <v>183</v>
      </c>
      <c r="AV107" s="87" t="s">
        <v>183</v>
      </c>
      <c r="AW107" s="87" t="s">
        <v>183</v>
      </c>
      <c r="AX107" s="87" t="s">
        <v>183</v>
      </c>
      <c r="AY107" s="87" t="s">
        <v>183</v>
      </c>
      <c r="AZ107" s="87" t="s">
        <v>183</v>
      </c>
      <c r="BA107" s="84">
        <f>AS9-O9</f>
        <v>0</v>
      </c>
    </row>
    <row r="108" spans="1:53" ht="33" customHeight="1" x14ac:dyDescent="0.25">
      <c r="A108" s="195"/>
      <c r="B108" s="135"/>
      <c r="C108" s="122"/>
      <c r="D108" s="89" t="s">
        <v>42</v>
      </c>
      <c r="E108" s="89" t="s">
        <v>34</v>
      </c>
      <c r="F108" s="89">
        <v>1.0609999999999999</v>
      </c>
      <c r="G108" s="29" t="s">
        <v>43</v>
      </c>
      <c r="H108" s="87">
        <v>699</v>
      </c>
      <c r="I108" s="87">
        <f t="shared" si="27"/>
        <v>741.63900000000001</v>
      </c>
      <c r="J108" s="87" t="s">
        <v>55</v>
      </c>
      <c r="K108" s="30">
        <v>1.05</v>
      </c>
      <c r="L108" s="87">
        <f>I108*K108</f>
        <v>778.72095000000002</v>
      </c>
      <c r="M108" s="129"/>
      <c r="N108" s="129"/>
      <c r="O108" s="129"/>
      <c r="P108" s="129"/>
      <c r="Q108" s="129"/>
      <c r="R108" s="125"/>
      <c r="S108" s="125"/>
      <c r="T108" s="125"/>
      <c r="U108" s="125"/>
      <c r="V108" s="125"/>
      <c r="W108" s="125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5"/>
      <c r="AH108" s="125"/>
      <c r="AI108" s="125"/>
      <c r="AJ108" s="125"/>
      <c r="AK108" s="125"/>
      <c r="AL108" s="125"/>
      <c r="AM108" s="129"/>
      <c r="AN108" s="129"/>
      <c r="AO108" s="129"/>
      <c r="AP108" s="129"/>
      <c r="AQ108" s="129"/>
      <c r="AR108" s="129"/>
      <c r="AS108" s="87" t="s">
        <v>183</v>
      </c>
      <c r="AT108" s="87" t="s">
        <v>183</v>
      </c>
      <c r="AU108" s="87" t="s">
        <v>183</v>
      </c>
      <c r="AV108" s="87" t="s">
        <v>183</v>
      </c>
      <c r="AW108" s="87" t="s">
        <v>183</v>
      </c>
      <c r="AX108" s="87" t="s">
        <v>183</v>
      </c>
      <c r="AY108" s="87" t="s">
        <v>183</v>
      </c>
      <c r="AZ108" s="87" t="s">
        <v>183</v>
      </c>
      <c r="BA108" s="84">
        <f>AS9-O9</f>
        <v>0</v>
      </c>
    </row>
    <row r="109" spans="1:53" ht="21" customHeight="1" x14ac:dyDescent="0.25">
      <c r="A109" s="195"/>
      <c r="B109" s="135"/>
      <c r="C109" s="122"/>
      <c r="D109" s="89" t="s">
        <v>44</v>
      </c>
      <c r="E109" s="89" t="s">
        <v>45</v>
      </c>
      <c r="F109" s="89">
        <v>6.25</v>
      </c>
      <c r="G109" s="29" t="s">
        <v>46</v>
      </c>
      <c r="H109" s="87">
        <v>17</v>
      </c>
      <c r="I109" s="87">
        <f t="shared" si="27"/>
        <v>106.25</v>
      </c>
      <c r="J109" s="87" t="s">
        <v>55</v>
      </c>
      <c r="K109" s="30">
        <v>1.05</v>
      </c>
      <c r="L109" s="87">
        <f>I109*K109</f>
        <v>111.5625</v>
      </c>
      <c r="M109" s="129"/>
      <c r="N109" s="129"/>
      <c r="O109" s="129"/>
      <c r="P109" s="129"/>
      <c r="Q109" s="129"/>
      <c r="R109" s="125"/>
      <c r="S109" s="125"/>
      <c r="T109" s="125"/>
      <c r="U109" s="125"/>
      <c r="V109" s="125"/>
      <c r="W109" s="125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5"/>
      <c r="AH109" s="125"/>
      <c r="AI109" s="125"/>
      <c r="AJ109" s="125"/>
      <c r="AK109" s="125"/>
      <c r="AL109" s="125"/>
      <c r="AM109" s="129"/>
      <c r="AN109" s="129"/>
      <c r="AO109" s="129"/>
      <c r="AP109" s="129"/>
      <c r="AQ109" s="129"/>
      <c r="AR109" s="129"/>
      <c r="AS109" s="87" t="s">
        <v>183</v>
      </c>
      <c r="AT109" s="87" t="s">
        <v>183</v>
      </c>
      <c r="AU109" s="87" t="s">
        <v>183</v>
      </c>
      <c r="AV109" s="87" t="s">
        <v>183</v>
      </c>
      <c r="AW109" s="87" t="s">
        <v>183</v>
      </c>
      <c r="AX109" s="87" t="s">
        <v>183</v>
      </c>
      <c r="AY109" s="87" t="s">
        <v>183</v>
      </c>
      <c r="AZ109" s="87" t="s">
        <v>183</v>
      </c>
      <c r="BA109" s="84">
        <f>AS9-O9</f>
        <v>0</v>
      </c>
    </row>
    <row r="110" spans="1:53" ht="23.25" customHeight="1" x14ac:dyDescent="0.25">
      <c r="A110" s="195"/>
      <c r="B110" s="135"/>
      <c r="C110" s="122"/>
      <c r="D110" s="89" t="s">
        <v>57</v>
      </c>
      <c r="E110" s="89" t="s">
        <v>34</v>
      </c>
      <c r="F110" s="89">
        <v>1.0609999999999999</v>
      </c>
      <c r="G110" s="29" t="s">
        <v>50</v>
      </c>
      <c r="H110" s="87">
        <v>464</v>
      </c>
      <c r="I110" s="87">
        <f t="shared" si="27"/>
        <v>492.30399999999997</v>
      </c>
      <c r="J110" s="87" t="s">
        <v>55</v>
      </c>
      <c r="K110" s="30">
        <v>1.05</v>
      </c>
      <c r="L110" s="87">
        <f>I110*K110</f>
        <v>516.91920000000005</v>
      </c>
      <c r="M110" s="129"/>
      <c r="N110" s="129"/>
      <c r="O110" s="129"/>
      <c r="P110" s="129"/>
      <c r="Q110" s="129"/>
      <c r="R110" s="125"/>
      <c r="S110" s="125"/>
      <c r="T110" s="125"/>
      <c r="U110" s="125"/>
      <c r="V110" s="125"/>
      <c r="W110" s="125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5"/>
      <c r="AH110" s="125"/>
      <c r="AI110" s="125"/>
      <c r="AJ110" s="125"/>
      <c r="AK110" s="125"/>
      <c r="AL110" s="125"/>
      <c r="AM110" s="129"/>
      <c r="AN110" s="129"/>
      <c r="AO110" s="129"/>
      <c r="AP110" s="129"/>
      <c r="AQ110" s="129"/>
      <c r="AR110" s="129"/>
      <c r="AS110" s="87" t="s">
        <v>183</v>
      </c>
      <c r="AT110" s="87" t="s">
        <v>183</v>
      </c>
      <c r="AU110" s="87" t="s">
        <v>183</v>
      </c>
      <c r="AV110" s="87" t="s">
        <v>183</v>
      </c>
      <c r="AW110" s="87" t="s">
        <v>183</v>
      </c>
      <c r="AX110" s="87" t="s">
        <v>183</v>
      </c>
      <c r="AY110" s="87" t="s">
        <v>183</v>
      </c>
      <c r="AZ110" s="87" t="s">
        <v>183</v>
      </c>
      <c r="BA110" s="84">
        <f>AS9-O9</f>
        <v>0</v>
      </c>
    </row>
    <row r="111" spans="1:53" ht="32.25" customHeight="1" x14ac:dyDescent="0.25">
      <c r="A111" s="195"/>
      <c r="B111" s="135"/>
      <c r="C111" s="122"/>
      <c r="D111" s="89" t="s">
        <v>48</v>
      </c>
      <c r="E111" s="89" t="s">
        <v>49</v>
      </c>
      <c r="F111" s="89">
        <v>0.11</v>
      </c>
      <c r="G111" s="29" t="s">
        <v>51</v>
      </c>
      <c r="H111" s="87">
        <v>187</v>
      </c>
      <c r="I111" s="87">
        <f t="shared" si="27"/>
        <v>20.57</v>
      </c>
      <c r="J111" s="87" t="s">
        <v>36</v>
      </c>
      <c r="K111" s="30" t="s">
        <v>36</v>
      </c>
      <c r="L111" s="87">
        <f>I111</f>
        <v>20.57</v>
      </c>
      <c r="M111" s="129"/>
      <c r="N111" s="129"/>
      <c r="O111" s="129"/>
      <c r="P111" s="129"/>
      <c r="Q111" s="129"/>
      <c r="R111" s="125"/>
      <c r="S111" s="125"/>
      <c r="T111" s="125"/>
      <c r="U111" s="125"/>
      <c r="V111" s="125"/>
      <c r="W111" s="125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5"/>
      <c r="AH111" s="125"/>
      <c r="AI111" s="125"/>
      <c r="AJ111" s="125"/>
      <c r="AK111" s="125"/>
      <c r="AL111" s="125"/>
      <c r="AM111" s="129"/>
      <c r="AN111" s="129"/>
      <c r="AO111" s="129"/>
      <c r="AP111" s="129"/>
      <c r="AQ111" s="129"/>
      <c r="AR111" s="129"/>
      <c r="AS111" s="87" t="s">
        <v>183</v>
      </c>
      <c r="AT111" s="87" t="s">
        <v>183</v>
      </c>
      <c r="AU111" s="87" t="s">
        <v>183</v>
      </c>
      <c r="AV111" s="87" t="s">
        <v>183</v>
      </c>
      <c r="AW111" s="87" t="s">
        <v>183</v>
      </c>
      <c r="AX111" s="87" t="s">
        <v>183</v>
      </c>
      <c r="AY111" s="87" t="s">
        <v>183</v>
      </c>
      <c r="AZ111" s="87" t="s">
        <v>183</v>
      </c>
      <c r="BA111" s="84">
        <f>AS9-O9</f>
        <v>0</v>
      </c>
    </row>
    <row r="112" spans="1:53" ht="28.5" customHeight="1" x14ac:dyDescent="0.25">
      <c r="A112" s="196"/>
      <c r="B112" s="135"/>
      <c r="C112" s="122"/>
      <c r="D112" s="89" t="s">
        <v>40</v>
      </c>
      <c r="E112" s="89" t="s">
        <v>41</v>
      </c>
      <c r="F112" s="89">
        <v>1</v>
      </c>
      <c r="G112" s="29" t="s">
        <v>203</v>
      </c>
      <c r="H112" s="87">
        <v>300</v>
      </c>
      <c r="I112" s="87">
        <f t="shared" si="27"/>
        <v>300</v>
      </c>
      <c r="J112" s="87" t="s">
        <v>36</v>
      </c>
      <c r="K112" s="87" t="s">
        <v>36</v>
      </c>
      <c r="L112" s="87">
        <f>I112</f>
        <v>300</v>
      </c>
      <c r="M112" s="130"/>
      <c r="N112" s="130"/>
      <c r="O112" s="130"/>
      <c r="P112" s="130"/>
      <c r="Q112" s="130"/>
      <c r="R112" s="126"/>
      <c r="S112" s="126"/>
      <c r="T112" s="126"/>
      <c r="U112" s="126"/>
      <c r="V112" s="126"/>
      <c r="W112" s="126"/>
      <c r="X112" s="129"/>
      <c r="Y112" s="129"/>
      <c r="Z112" s="129"/>
      <c r="AA112" s="130"/>
      <c r="AB112" s="130"/>
      <c r="AC112" s="130"/>
      <c r="AD112" s="130"/>
      <c r="AE112" s="130"/>
      <c r="AF112" s="130"/>
      <c r="AG112" s="126"/>
      <c r="AH112" s="126"/>
      <c r="AI112" s="126"/>
      <c r="AJ112" s="126"/>
      <c r="AK112" s="126"/>
      <c r="AL112" s="126"/>
      <c r="AM112" s="130"/>
      <c r="AN112" s="130"/>
      <c r="AO112" s="130"/>
      <c r="AP112" s="130"/>
      <c r="AQ112" s="130"/>
      <c r="AR112" s="130"/>
      <c r="AS112" s="87" t="s">
        <v>183</v>
      </c>
      <c r="AT112" s="87" t="s">
        <v>183</v>
      </c>
      <c r="AU112" s="87" t="s">
        <v>183</v>
      </c>
      <c r="AV112" s="87" t="s">
        <v>183</v>
      </c>
      <c r="AW112" s="87" t="s">
        <v>183</v>
      </c>
      <c r="AX112" s="87" t="s">
        <v>183</v>
      </c>
      <c r="AY112" s="87" t="s">
        <v>183</v>
      </c>
      <c r="AZ112" s="87" t="s">
        <v>183</v>
      </c>
      <c r="BA112" s="84">
        <f>AS9-O9</f>
        <v>0</v>
      </c>
    </row>
    <row r="113" spans="1:53" s="60" customFormat="1" ht="34.5" customHeight="1" x14ac:dyDescent="0.25">
      <c r="A113" s="194">
        <v>24</v>
      </c>
      <c r="B113" s="144" t="s">
        <v>229</v>
      </c>
      <c r="C113" s="145">
        <v>6</v>
      </c>
      <c r="D113" s="98" t="s">
        <v>38</v>
      </c>
      <c r="E113" s="98" t="s">
        <v>37</v>
      </c>
      <c r="F113" s="98">
        <v>1</v>
      </c>
      <c r="G113" s="91" t="s">
        <v>39</v>
      </c>
      <c r="H113" s="58">
        <v>1663</v>
      </c>
      <c r="I113" s="58">
        <f t="shared" si="27"/>
        <v>1663</v>
      </c>
      <c r="J113" s="58" t="s">
        <v>54</v>
      </c>
      <c r="K113" s="59">
        <v>1.1000000000000001</v>
      </c>
      <c r="L113" s="58">
        <f>I113*K113</f>
        <v>1829.3000000000002</v>
      </c>
      <c r="M113" s="175">
        <f>L113+L115+L116+L117+L118</f>
        <v>3894.7388000000005</v>
      </c>
      <c r="N113" s="175">
        <f>M113*0.2</f>
        <v>778.94776000000013</v>
      </c>
      <c r="O113" s="175">
        <f>M113+N113</f>
        <v>4673.686560000001</v>
      </c>
      <c r="P113" s="175">
        <f>O113*R113*S113</f>
        <v>5330.7508060972814</v>
      </c>
      <c r="Q113" s="175">
        <f>AB113</f>
        <v>8104.0587459292456</v>
      </c>
      <c r="R113" s="205">
        <v>1.0740000000000001</v>
      </c>
      <c r="S113" s="205">
        <v>1.0620000000000001</v>
      </c>
      <c r="T113" s="205">
        <v>1.0509999999999999</v>
      </c>
      <c r="U113" s="205">
        <v>1.048</v>
      </c>
      <c r="V113" s="205">
        <v>1.0469999999999999</v>
      </c>
      <c r="W113" s="205">
        <v>1.0469999999999999</v>
      </c>
      <c r="X113" s="175">
        <v>0</v>
      </c>
      <c r="Y113" s="175">
        <v>0</v>
      </c>
      <c r="Z113" s="175">
        <v>0</v>
      </c>
      <c r="AA113" s="175">
        <v>0</v>
      </c>
      <c r="AB113" s="175">
        <f>O113*T113*U113*V113*1.4*R113</f>
        <v>8104.0587459292456</v>
      </c>
      <c r="AC113" s="175">
        <v>0</v>
      </c>
      <c r="AD113" s="175">
        <f>SUM(L113:L118)*1.2-L114*1.2</f>
        <v>4673.686560000001</v>
      </c>
      <c r="AE113" s="175">
        <f>AD113*AG113*AH113*AI113</f>
        <v>5555.6562308209486</v>
      </c>
      <c r="AF113" s="175">
        <f>AM113+AN113+AO113+AP113+AQ113+AR113</f>
        <v>6125.1054388238636</v>
      </c>
      <c r="AG113" s="205">
        <v>1.0680000000000001</v>
      </c>
      <c r="AH113" s="205">
        <v>1.056</v>
      </c>
      <c r="AI113" s="205">
        <v>1.054</v>
      </c>
      <c r="AJ113" s="205">
        <v>1.0509999999999999</v>
      </c>
      <c r="AK113" s="205">
        <v>1.0489999999999999</v>
      </c>
      <c r="AL113" s="205">
        <v>1.0469999999999999</v>
      </c>
      <c r="AM113" s="175">
        <v>0</v>
      </c>
      <c r="AN113" s="175">
        <v>0</v>
      </c>
      <c r="AO113" s="175">
        <v>0</v>
      </c>
      <c r="AP113" s="175">
        <v>0</v>
      </c>
      <c r="AQ113" s="175">
        <f>AD113*AG113*AH113*AI113*AJ113*AK113</f>
        <v>6125.1054388238636</v>
      </c>
      <c r="AR113" s="175">
        <v>0</v>
      </c>
      <c r="AS113" s="87" t="s">
        <v>183</v>
      </c>
      <c r="AT113" s="87" t="s">
        <v>183</v>
      </c>
      <c r="AU113" s="87" t="s">
        <v>183</v>
      </c>
      <c r="AV113" s="87" t="s">
        <v>183</v>
      </c>
      <c r="AW113" s="87" t="s">
        <v>183</v>
      </c>
      <c r="AX113" s="87" t="s">
        <v>183</v>
      </c>
      <c r="AY113" s="87" t="s">
        <v>183</v>
      </c>
      <c r="AZ113" s="87" t="s">
        <v>183</v>
      </c>
      <c r="BA113" s="97">
        <f>AS9-O9</f>
        <v>0</v>
      </c>
    </row>
    <row r="114" spans="1:53" s="60" customFormat="1" ht="30" customHeight="1" x14ac:dyDescent="0.25">
      <c r="A114" s="208"/>
      <c r="B114" s="144"/>
      <c r="C114" s="145"/>
      <c r="D114" s="98" t="s">
        <v>44</v>
      </c>
      <c r="E114" s="98" t="s">
        <v>45</v>
      </c>
      <c r="F114" s="98">
        <v>24.95</v>
      </c>
      <c r="G114" s="91" t="s">
        <v>46</v>
      </c>
      <c r="H114" s="58">
        <v>17</v>
      </c>
      <c r="I114" s="58">
        <f t="shared" si="27"/>
        <v>424.15</v>
      </c>
      <c r="J114" s="58" t="s">
        <v>55</v>
      </c>
      <c r="K114" s="59">
        <v>1.05</v>
      </c>
      <c r="L114" s="58">
        <f>I114*K114</f>
        <v>445.35750000000002</v>
      </c>
      <c r="M114" s="176"/>
      <c r="N114" s="176"/>
      <c r="O114" s="176"/>
      <c r="P114" s="176"/>
      <c r="Q114" s="176"/>
      <c r="R114" s="206"/>
      <c r="S114" s="206"/>
      <c r="T114" s="206"/>
      <c r="U114" s="206"/>
      <c r="V114" s="206"/>
      <c r="W114" s="20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206"/>
      <c r="AH114" s="206"/>
      <c r="AI114" s="206"/>
      <c r="AJ114" s="206"/>
      <c r="AK114" s="206"/>
      <c r="AL114" s="206"/>
      <c r="AM114" s="176"/>
      <c r="AN114" s="176"/>
      <c r="AO114" s="176"/>
      <c r="AP114" s="176"/>
      <c r="AQ114" s="176"/>
      <c r="AR114" s="176"/>
      <c r="AS114" s="87" t="s">
        <v>183</v>
      </c>
      <c r="AT114" s="87" t="s">
        <v>183</v>
      </c>
      <c r="AU114" s="87" t="s">
        <v>183</v>
      </c>
      <c r="AV114" s="87" t="s">
        <v>183</v>
      </c>
      <c r="AW114" s="87" t="s">
        <v>183</v>
      </c>
      <c r="AX114" s="87" t="s">
        <v>183</v>
      </c>
      <c r="AY114" s="87" t="s">
        <v>183</v>
      </c>
      <c r="AZ114" s="87" t="s">
        <v>183</v>
      </c>
      <c r="BA114" s="97" t="s">
        <v>183</v>
      </c>
    </row>
    <row r="115" spans="1:53" s="60" customFormat="1" ht="30" customHeight="1" x14ac:dyDescent="0.25">
      <c r="A115" s="209"/>
      <c r="B115" s="144"/>
      <c r="C115" s="145"/>
      <c r="D115" s="98" t="s">
        <v>42</v>
      </c>
      <c r="E115" s="98" t="s">
        <v>34</v>
      </c>
      <c r="F115" s="98">
        <v>1.488</v>
      </c>
      <c r="G115" s="57" t="s">
        <v>43</v>
      </c>
      <c r="H115" s="58">
        <v>699</v>
      </c>
      <c r="I115" s="58">
        <f t="shared" si="27"/>
        <v>1040.1120000000001</v>
      </c>
      <c r="J115" s="58" t="s">
        <v>55</v>
      </c>
      <c r="K115" s="59">
        <v>1.05</v>
      </c>
      <c r="L115" s="58">
        <f>I115*K115</f>
        <v>1092.1176</v>
      </c>
      <c r="M115" s="177"/>
      <c r="N115" s="177"/>
      <c r="O115" s="177"/>
      <c r="P115" s="176"/>
      <c r="Q115" s="176"/>
      <c r="R115" s="207"/>
      <c r="S115" s="207"/>
      <c r="T115" s="207"/>
      <c r="U115" s="207"/>
      <c r="V115" s="207"/>
      <c r="W115" s="207"/>
      <c r="X115" s="177"/>
      <c r="Y115" s="177"/>
      <c r="Z115" s="177"/>
      <c r="AA115" s="177"/>
      <c r="AB115" s="177"/>
      <c r="AC115" s="177"/>
      <c r="AD115" s="177"/>
      <c r="AE115" s="176"/>
      <c r="AF115" s="176"/>
      <c r="AG115" s="207"/>
      <c r="AH115" s="207"/>
      <c r="AI115" s="207"/>
      <c r="AJ115" s="207"/>
      <c r="AK115" s="207"/>
      <c r="AL115" s="207"/>
      <c r="AM115" s="177"/>
      <c r="AN115" s="177"/>
      <c r="AO115" s="177"/>
      <c r="AP115" s="177"/>
      <c r="AQ115" s="177"/>
      <c r="AR115" s="177"/>
      <c r="AS115" s="87" t="s">
        <v>183</v>
      </c>
      <c r="AT115" s="87" t="s">
        <v>183</v>
      </c>
      <c r="AU115" s="87" t="s">
        <v>183</v>
      </c>
      <c r="AV115" s="87" t="s">
        <v>183</v>
      </c>
      <c r="AW115" s="87" t="s">
        <v>183</v>
      </c>
      <c r="AX115" s="87" t="s">
        <v>183</v>
      </c>
      <c r="AY115" s="87" t="s">
        <v>183</v>
      </c>
      <c r="AZ115" s="87" t="s">
        <v>183</v>
      </c>
      <c r="BA115" s="97">
        <f>AS9-O9</f>
        <v>0</v>
      </c>
    </row>
    <row r="116" spans="1:53" s="60" customFormat="1" ht="31.5" customHeight="1" x14ac:dyDescent="0.25">
      <c r="A116" s="209"/>
      <c r="B116" s="144"/>
      <c r="C116" s="145"/>
      <c r="D116" s="98" t="s">
        <v>57</v>
      </c>
      <c r="E116" s="98" t="s">
        <v>34</v>
      </c>
      <c r="F116" s="98">
        <v>1.488</v>
      </c>
      <c r="G116" s="57" t="s">
        <v>58</v>
      </c>
      <c r="H116" s="58">
        <v>413</v>
      </c>
      <c r="I116" s="58">
        <f t="shared" si="27"/>
        <v>614.54399999999998</v>
      </c>
      <c r="J116" s="58" t="s">
        <v>55</v>
      </c>
      <c r="K116" s="59">
        <v>1.05</v>
      </c>
      <c r="L116" s="58">
        <f>I116*K116</f>
        <v>645.27120000000002</v>
      </c>
      <c r="M116" s="177"/>
      <c r="N116" s="177"/>
      <c r="O116" s="177"/>
      <c r="P116" s="176"/>
      <c r="Q116" s="176"/>
      <c r="R116" s="207"/>
      <c r="S116" s="207"/>
      <c r="T116" s="207"/>
      <c r="U116" s="207"/>
      <c r="V116" s="207"/>
      <c r="W116" s="207"/>
      <c r="X116" s="177"/>
      <c r="Y116" s="177"/>
      <c r="Z116" s="177"/>
      <c r="AA116" s="177"/>
      <c r="AB116" s="177"/>
      <c r="AC116" s="177"/>
      <c r="AD116" s="177"/>
      <c r="AE116" s="176"/>
      <c r="AF116" s="176"/>
      <c r="AG116" s="207"/>
      <c r="AH116" s="207"/>
      <c r="AI116" s="207"/>
      <c r="AJ116" s="207"/>
      <c r="AK116" s="207"/>
      <c r="AL116" s="207"/>
      <c r="AM116" s="177"/>
      <c r="AN116" s="177"/>
      <c r="AO116" s="177"/>
      <c r="AP116" s="177"/>
      <c r="AQ116" s="177"/>
      <c r="AR116" s="177"/>
      <c r="AS116" s="87" t="s">
        <v>183</v>
      </c>
      <c r="AT116" s="87" t="s">
        <v>183</v>
      </c>
      <c r="AU116" s="87" t="s">
        <v>183</v>
      </c>
      <c r="AV116" s="87" t="s">
        <v>183</v>
      </c>
      <c r="AW116" s="87" t="s">
        <v>183</v>
      </c>
      <c r="AX116" s="87" t="s">
        <v>183</v>
      </c>
      <c r="AY116" s="87" t="s">
        <v>183</v>
      </c>
      <c r="AZ116" s="87" t="s">
        <v>183</v>
      </c>
      <c r="BA116" s="97">
        <f>AS9-O9</f>
        <v>0</v>
      </c>
    </row>
    <row r="117" spans="1:53" s="60" customFormat="1" ht="33.75" customHeight="1" x14ac:dyDescent="0.25">
      <c r="A117" s="209"/>
      <c r="B117" s="144"/>
      <c r="C117" s="145"/>
      <c r="D117" s="98" t="s">
        <v>48</v>
      </c>
      <c r="E117" s="98" t="s">
        <v>49</v>
      </c>
      <c r="F117" s="98">
        <v>0.15</v>
      </c>
      <c r="G117" s="57" t="s">
        <v>51</v>
      </c>
      <c r="H117" s="58">
        <v>187</v>
      </c>
      <c r="I117" s="58">
        <f t="shared" si="27"/>
        <v>28.05</v>
      </c>
      <c r="J117" s="58" t="s">
        <v>36</v>
      </c>
      <c r="K117" s="59" t="s">
        <v>36</v>
      </c>
      <c r="L117" s="58">
        <f>I117</f>
        <v>28.05</v>
      </c>
      <c r="M117" s="177"/>
      <c r="N117" s="177"/>
      <c r="O117" s="177"/>
      <c r="P117" s="176"/>
      <c r="Q117" s="176"/>
      <c r="R117" s="207"/>
      <c r="S117" s="207"/>
      <c r="T117" s="207"/>
      <c r="U117" s="207"/>
      <c r="V117" s="207"/>
      <c r="W117" s="207"/>
      <c r="X117" s="177"/>
      <c r="Y117" s="177"/>
      <c r="Z117" s="177"/>
      <c r="AA117" s="177"/>
      <c r="AB117" s="177"/>
      <c r="AC117" s="177"/>
      <c r="AD117" s="177"/>
      <c r="AE117" s="176"/>
      <c r="AF117" s="176"/>
      <c r="AG117" s="207"/>
      <c r="AH117" s="207"/>
      <c r="AI117" s="207"/>
      <c r="AJ117" s="207"/>
      <c r="AK117" s="207"/>
      <c r="AL117" s="207"/>
      <c r="AM117" s="177"/>
      <c r="AN117" s="177"/>
      <c r="AO117" s="177"/>
      <c r="AP117" s="177"/>
      <c r="AQ117" s="177"/>
      <c r="AR117" s="177"/>
      <c r="AS117" s="87" t="s">
        <v>183</v>
      </c>
      <c r="AT117" s="87" t="s">
        <v>183</v>
      </c>
      <c r="AU117" s="87" t="s">
        <v>183</v>
      </c>
      <c r="AV117" s="87" t="s">
        <v>183</v>
      </c>
      <c r="AW117" s="87" t="s">
        <v>183</v>
      </c>
      <c r="AX117" s="87" t="s">
        <v>183</v>
      </c>
      <c r="AY117" s="87" t="s">
        <v>183</v>
      </c>
      <c r="AZ117" s="87" t="s">
        <v>183</v>
      </c>
      <c r="BA117" s="97">
        <f>AS9-O9</f>
        <v>0</v>
      </c>
    </row>
    <row r="118" spans="1:53" s="60" customFormat="1" ht="30" customHeight="1" x14ac:dyDescent="0.25">
      <c r="A118" s="209"/>
      <c r="B118" s="144"/>
      <c r="C118" s="145"/>
      <c r="D118" s="98" t="s">
        <v>40</v>
      </c>
      <c r="E118" s="98" t="s">
        <v>41</v>
      </c>
      <c r="F118" s="98">
        <v>1</v>
      </c>
      <c r="G118" s="57" t="s">
        <v>203</v>
      </c>
      <c r="H118" s="58">
        <v>300</v>
      </c>
      <c r="I118" s="58">
        <f t="shared" si="27"/>
        <v>300</v>
      </c>
      <c r="J118" s="58" t="s">
        <v>36</v>
      </c>
      <c r="K118" s="59" t="s">
        <v>36</v>
      </c>
      <c r="L118" s="58">
        <f>I118</f>
        <v>300</v>
      </c>
      <c r="M118" s="177"/>
      <c r="N118" s="177"/>
      <c r="O118" s="177"/>
      <c r="P118" s="177"/>
      <c r="Q118" s="177"/>
      <c r="R118" s="207"/>
      <c r="S118" s="207"/>
      <c r="T118" s="207"/>
      <c r="U118" s="207"/>
      <c r="V118" s="207"/>
      <c r="W118" s="20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207"/>
      <c r="AH118" s="207"/>
      <c r="AI118" s="207"/>
      <c r="AJ118" s="207"/>
      <c r="AK118" s="207"/>
      <c r="AL118" s="207"/>
      <c r="AM118" s="177"/>
      <c r="AN118" s="177"/>
      <c r="AO118" s="177"/>
      <c r="AP118" s="177"/>
      <c r="AQ118" s="177"/>
      <c r="AR118" s="177"/>
      <c r="AS118" s="87" t="s">
        <v>183</v>
      </c>
      <c r="AT118" s="87" t="s">
        <v>183</v>
      </c>
      <c r="AU118" s="87" t="s">
        <v>183</v>
      </c>
      <c r="AV118" s="87" t="s">
        <v>183</v>
      </c>
      <c r="AW118" s="87" t="s">
        <v>183</v>
      </c>
      <c r="AX118" s="87" t="s">
        <v>183</v>
      </c>
      <c r="AY118" s="87" t="s">
        <v>183</v>
      </c>
      <c r="AZ118" s="87" t="s">
        <v>183</v>
      </c>
      <c r="BA118" s="97">
        <f>AS9-O9</f>
        <v>0</v>
      </c>
    </row>
    <row r="119" spans="1:53" ht="84" customHeight="1" x14ac:dyDescent="0.25">
      <c r="A119" s="78">
        <v>25</v>
      </c>
      <c r="B119" s="92" t="s">
        <v>253</v>
      </c>
      <c r="C119" s="88">
        <v>35</v>
      </c>
      <c r="D119" s="89" t="s">
        <v>194</v>
      </c>
      <c r="E119" s="89" t="s">
        <v>37</v>
      </c>
      <c r="F119" s="89">
        <v>1</v>
      </c>
      <c r="G119" s="92" t="s">
        <v>195</v>
      </c>
      <c r="H119" s="87">
        <v>20978</v>
      </c>
      <c r="I119" s="87">
        <f t="shared" si="27"/>
        <v>20978</v>
      </c>
      <c r="J119" s="87" t="s">
        <v>92</v>
      </c>
      <c r="K119" s="30">
        <v>1.05</v>
      </c>
      <c r="L119" s="87">
        <f t="shared" ref="L119" si="40">I119*K119</f>
        <v>22026.9</v>
      </c>
      <c r="M119" s="87">
        <f>L119</f>
        <v>22026.9</v>
      </c>
      <c r="N119" s="87">
        <f>M119*0.2</f>
        <v>4405.38</v>
      </c>
      <c r="O119" s="87">
        <f>M119+N119</f>
        <v>26432.280000000002</v>
      </c>
      <c r="P119" s="87">
        <f>O119*R119*S119</f>
        <v>30148.341380640006</v>
      </c>
      <c r="Q119" s="87">
        <f>X119+Y119+Z119+AA119+AB119+AC119</f>
        <v>36401.626254993651</v>
      </c>
      <c r="R119" s="82">
        <v>1.0740000000000001</v>
      </c>
      <c r="S119" s="82">
        <v>1.0620000000000001</v>
      </c>
      <c r="T119" s="82">
        <v>1.0509999999999999</v>
      </c>
      <c r="U119" s="82">
        <v>1.048</v>
      </c>
      <c r="V119" s="82">
        <v>1.0469999999999999</v>
      </c>
      <c r="W119" s="82">
        <v>1.0469999999999999</v>
      </c>
      <c r="X119" s="87">
        <v>0</v>
      </c>
      <c r="Y119" s="87">
        <v>0</v>
      </c>
      <c r="Z119" s="87">
        <v>0</v>
      </c>
      <c r="AA119" s="87">
        <v>0</v>
      </c>
      <c r="AB119" s="87">
        <v>0</v>
      </c>
      <c r="AC119" s="87">
        <f>P119*T119*U119*V119*W119</f>
        <v>36401.626254993651</v>
      </c>
      <c r="AD119" s="87">
        <f>L119*1.2</f>
        <v>26432.280000000002</v>
      </c>
      <c r="AE119" s="87">
        <f>AD119*AG119*AH119*AI119</f>
        <v>31420.305831720969</v>
      </c>
      <c r="AF119" s="87">
        <f>AM119+AN119+AO119+AP119+AQ119+AR119</f>
        <v>36268.975979847361</v>
      </c>
      <c r="AG119" s="82">
        <v>1.0680000000000001</v>
      </c>
      <c r="AH119" s="82">
        <v>1.056</v>
      </c>
      <c r="AI119" s="82">
        <v>1.054</v>
      </c>
      <c r="AJ119" s="82">
        <v>1.0509999999999999</v>
      </c>
      <c r="AK119" s="82">
        <v>1.0489999999999999</v>
      </c>
      <c r="AL119" s="82">
        <v>1.0469999999999999</v>
      </c>
      <c r="AM119" s="81">
        <v>0</v>
      </c>
      <c r="AN119" s="81">
        <v>0</v>
      </c>
      <c r="AO119" s="81">
        <v>0</v>
      </c>
      <c r="AP119" s="81">
        <v>0</v>
      </c>
      <c r="AQ119" s="81">
        <v>0</v>
      </c>
      <c r="AR119" s="81">
        <f>AD119*AG119*AH119*AI119*AJ119*AK119*AL119</f>
        <v>36268.975979847361</v>
      </c>
      <c r="AS119" s="87" t="s">
        <v>183</v>
      </c>
      <c r="AT119" s="87" t="s">
        <v>183</v>
      </c>
      <c r="AU119" s="87" t="s">
        <v>183</v>
      </c>
      <c r="AV119" s="87" t="s">
        <v>183</v>
      </c>
      <c r="AW119" s="87" t="s">
        <v>183</v>
      </c>
      <c r="AX119" s="87" t="s">
        <v>183</v>
      </c>
      <c r="AY119" s="87" t="s">
        <v>183</v>
      </c>
      <c r="AZ119" s="87" t="s">
        <v>183</v>
      </c>
      <c r="BA119" s="85">
        <f>AS9-O9</f>
        <v>0</v>
      </c>
    </row>
    <row r="120" spans="1:53" ht="80.25" customHeight="1" x14ac:dyDescent="0.25">
      <c r="A120" s="78">
        <v>26</v>
      </c>
      <c r="B120" s="92" t="s">
        <v>204</v>
      </c>
      <c r="C120" s="88">
        <v>110</v>
      </c>
      <c r="D120" s="89" t="s">
        <v>188</v>
      </c>
      <c r="E120" s="89" t="s">
        <v>37</v>
      </c>
      <c r="F120" s="89">
        <v>1</v>
      </c>
      <c r="G120" s="92" t="s">
        <v>189</v>
      </c>
      <c r="H120" s="87">
        <v>28252</v>
      </c>
      <c r="I120" s="87">
        <f t="shared" si="27"/>
        <v>28252</v>
      </c>
      <c r="J120" s="87" t="s">
        <v>92</v>
      </c>
      <c r="K120" s="30">
        <v>1.05</v>
      </c>
      <c r="L120" s="87">
        <f>I120*K120</f>
        <v>29664.600000000002</v>
      </c>
      <c r="M120" s="87">
        <f>L120</f>
        <v>29664.600000000002</v>
      </c>
      <c r="N120" s="87">
        <f>M120*0.2</f>
        <v>5932.920000000001</v>
      </c>
      <c r="O120" s="87">
        <f>M120+N120</f>
        <v>35597.520000000004</v>
      </c>
      <c r="P120" s="87">
        <f>O120*R120*S120</f>
        <v>40602.104141760006</v>
      </c>
      <c r="Q120" s="87">
        <f>X120+Y120+Z120+AA120+AB120+AC120</f>
        <v>49023.679328633843</v>
      </c>
      <c r="R120" s="82">
        <v>1.0740000000000001</v>
      </c>
      <c r="S120" s="82">
        <v>1.0620000000000001</v>
      </c>
      <c r="T120" s="82">
        <v>1.0509999999999999</v>
      </c>
      <c r="U120" s="82">
        <v>1.048</v>
      </c>
      <c r="V120" s="82">
        <v>1.0469999999999999</v>
      </c>
      <c r="W120" s="82">
        <v>1.0469999999999999</v>
      </c>
      <c r="X120" s="87">
        <v>0</v>
      </c>
      <c r="Y120" s="87">
        <v>0</v>
      </c>
      <c r="Z120" s="87">
        <v>0</v>
      </c>
      <c r="AA120" s="87">
        <v>0</v>
      </c>
      <c r="AB120" s="87">
        <v>0</v>
      </c>
      <c r="AC120" s="87">
        <f>O120*T120*U120*V120*W120*R120*S120</f>
        <v>49023.679328633843</v>
      </c>
      <c r="AD120" s="87">
        <f>O120</f>
        <v>35597.520000000004</v>
      </c>
      <c r="AE120" s="87">
        <f>AD120*AG120*AH120*AI120</f>
        <v>42315.114899312648</v>
      </c>
      <c r="AF120" s="87">
        <f>AM120+AN120+AO120+AP120+AQ120+AR120</f>
        <v>48845.033338862013</v>
      </c>
      <c r="AG120" s="82">
        <v>1.0680000000000001</v>
      </c>
      <c r="AH120" s="82">
        <v>1.056</v>
      </c>
      <c r="AI120" s="82">
        <v>1.054</v>
      </c>
      <c r="AJ120" s="82">
        <v>1.0509999999999999</v>
      </c>
      <c r="AK120" s="82">
        <v>1.0489999999999999</v>
      </c>
      <c r="AL120" s="82">
        <v>1.0469999999999999</v>
      </c>
      <c r="AM120" s="81">
        <v>0</v>
      </c>
      <c r="AN120" s="81">
        <v>0</v>
      </c>
      <c r="AO120" s="81">
        <v>0</v>
      </c>
      <c r="AP120" s="81">
        <v>0</v>
      </c>
      <c r="AQ120" s="81">
        <v>0</v>
      </c>
      <c r="AR120" s="81">
        <f>AD120*AG120*AH120*AI120*AJ120*AK120*AL120</f>
        <v>48845.033338862013</v>
      </c>
      <c r="AS120" s="87" t="s">
        <v>183</v>
      </c>
      <c r="AT120" s="87" t="s">
        <v>183</v>
      </c>
      <c r="AU120" s="87" t="s">
        <v>183</v>
      </c>
      <c r="AV120" s="87" t="s">
        <v>183</v>
      </c>
      <c r="AW120" s="87" t="s">
        <v>183</v>
      </c>
      <c r="AX120" s="87" t="s">
        <v>183</v>
      </c>
      <c r="AY120" s="87" t="s">
        <v>183</v>
      </c>
      <c r="AZ120" s="87" t="s">
        <v>183</v>
      </c>
      <c r="BA120" s="85">
        <f>AS9-O9</f>
        <v>0</v>
      </c>
    </row>
    <row r="121" spans="1:53" ht="45" customHeight="1" x14ac:dyDescent="0.25">
      <c r="A121" s="194">
        <v>27</v>
      </c>
      <c r="B121" s="135" t="s">
        <v>205</v>
      </c>
      <c r="C121" s="122">
        <v>35</v>
      </c>
      <c r="D121" s="89" t="s">
        <v>198</v>
      </c>
      <c r="E121" s="89" t="s">
        <v>33</v>
      </c>
      <c r="F121" s="89">
        <v>8</v>
      </c>
      <c r="G121" s="92" t="s">
        <v>199</v>
      </c>
      <c r="H121" s="87">
        <v>9040</v>
      </c>
      <c r="I121" s="87">
        <f t="shared" si="27"/>
        <v>72320</v>
      </c>
      <c r="J121" s="87" t="s">
        <v>59</v>
      </c>
      <c r="K121" s="30">
        <v>1.03</v>
      </c>
      <c r="L121" s="87">
        <f>I121*K121</f>
        <v>74489.600000000006</v>
      </c>
      <c r="M121" s="128">
        <f>L121+L122</f>
        <v>85625.600000000006</v>
      </c>
      <c r="N121" s="128">
        <f>M121*0.2</f>
        <v>17125.120000000003</v>
      </c>
      <c r="O121" s="128">
        <f>(M121+N121)</f>
        <v>102750.72</v>
      </c>
      <c r="P121" s="128">
        <f>O121*R121*S121</f>
        <v>117196.23822336002</v>
      </c>
      <c r="Q121" s="128">
        <f>X121+Y121+Z121+AA121+AB121+AC121</f>
        <v>141504.75505221271</v>
      </c>
      <c r="R121" s="124">
        <v>1.0740000000000001</v>
      </c>
      <c r="S121" s="124">
        <v>1.0620000000000001</v>
      </c>
      <c r="T121" s="124">
        <v>1.0509999999999999</v>
      </c>
      <c r="U121" s="124">
        <v>1.048</v>
      </c>
      <c r="V121" s="124">
        <v>1.0469999999999999</v>
      </c>
      <c r="W121" s="124">
        <v>1.0469999999999999</v>
      </c>
      <c r="X121" s="128">
        <v>0</v>
      </c>
      <c r="Y121" s="128">
        <v>0</v>
      </c>
      <c r="Z121" s="128">
        <v>0</v>
      </c>
      <c r="AA121" s="128">
        <v>0</v>
      </c>
      <c r="AB121" s="128">
        <v>0</v>
      </c>
      <c r="AC121" s="128">
        <f>P121*T121*U121*V121*W121</f>
        <v>141504.75505221271</v>
      </c>
      <c r="AD121" s="128">
        <f>O121</f>
        <v>102750.72</v>
      </c>
      <c r="AE121" s="128">
        <f>AD121*AG121*AH121*AI121</f>
        <v>122140.77055893505</v>
      </c>
      <c r="AF121" s="128">
        <f>AM121+AN121+AO121+AP121+AQ121+AR121</f>
        <v>140989.10103827671</v>
      </c>
      <c r="AG121" s="124">
        <v>1.0680000000000001</v>
      </c>
      <c r="AH121" s="124">
        <v>1.056</v>
      </c>
      <c r="AI121" s="124">
        <v>1.054</v>
      </c>
      <c r="AJ121" s="124">
        <v>1.0509999999999999</v>
      </c>
      <c r="AK121" s="124">
        <v>1.0489999999999999</v>
      </c>
      <c r="AL121" s="124">
        <v>1.0469999999999999</v>
      </c>
      <c r="AM121" s="128">
        <v>0</v>
      </c>
      <c r="AN121" s="128">
        <v>0</v>
      </c>
      <c r="AO121" s="128">
        <v>0</v>
      </c>
      <c r="AP121" s="128">
        <v>0</v>
      </c>
      <c r="AQ121" s="128">
        <v>0</v>
      </c>
      <c r="AR121" s="128">
        <f>AD121*AG121*AH121*AI121*AJ121*AK121*AL121</f>
        <v>140989.10103827671</v>
      </c>
      <c r="AS121" s="87" t="s">
        <v>183</v>
      </c>
      <c r="AT121" s="87" t="s">
        <v>183</v>
      </c>
      <c r="AU121" s="87" t="s">
        <v>183</v>
      </c>
      <c r="AV121" s="87" t="s">
        <v>183</v>
      </c>
      <c r="AW121" s="87" t="s">
        <v>183</v>
      </c>
      <c r="AX121" s="87" t="s">
        <v>183</v>
      </c>
      <c r="AY121" s="87" t="s">
        <v>183</v>
      </c>
      <c r="AZ121" s="87" t="s">
        <v>183</v>
      </c>
      <c r="BA121" s="84">
        <f>AS9-O9</f>
        <v>0</v>
      </c>
    </row>
    <row r="122" spans="1:53" ht="45.75" customHeight="1" x14ac:dyDescent="0.25">
      <c r="A122" s="196"/>
      <c r="B122" s="135"/>
      <c r="C122" s="122"/>
      <c r="D122" s="89" t="s">
        <v>176</v>
      </c>
      <c r="E122" s="89" t="s">
        <v>33</v>
      </c>
      <c r="F122" s="89">
        <v>8</v>
      </c>
      <c r="G122" s="92" t="s">
        <v>74</v>
      </c>
      <c r="H122" s="87">
        <v>1392</v>
      </c>
      <c r="I122" s="87">
        <f t="shared" si="27"/>
        <v>11136</v>
      </c>
      <c r="J122" s="87" t="s">
        <v>36</v>
      </c>
      <c r="K122" s="30" t="s">
        <v>36</v>
      </c>
      <c r="L122" s="87">
        <f>I122</f>
        <v>11136</v>
      </c>
      <c r="M122" s="130"/>
      <c r="N122" s="130"/>
      <c r="O122" s="130"/>
      <c r="P122" s="130"/>
      <c r="Q122" s="130"/>
      <c r="R122" s="126"/>
      <c r="S122" s="126"/>
      <c r="T122" s="126"/>
      <c r="U122" s="126"/>
      <c r="V122" s="126"/>
      <c r="W122" s="126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26"/>
      <c r="AH122" s="126"/>
      <c r="AI122" s="126"/>
      <c r="AJ122" s="126"/>
      <c r="AK122" s="126"/>
      <c r="AL122" s="126"/>
      <c r="AM122" s="130"/>
      <c r="AN122" s="130"/>
      <c r="AO122" s="130"/>
      <c r="AP122" s="130"/>
      <c r="AQ122" s="130"/>
      <c r="AR122" s="130"/>
      <c r="AS122" s="87" t="s">
        <v>183</v>
      </c>
      <c r="AT122" s="87" t="s">
        <v>183</v>
      </c>
      <c r="AU122" s="87" t="s">
        <v>183</v>
      </c>
      <c r="AV122" s="87" t="s">
        <v>183</v>
      </c>
      <c r="AW122" s="87" t="s">
        <v>183</v>
      </c>
      <c r="AX122" s="87" t="s">
        <v>183</v>
      </c>
      <c r="AY122" s="87" t="s">
        <v>183</v>
      </c>
      <c r="AZ122" s="87" t="s">
        <v>183</v>
      </c>
      <c r="BA122" s="84">
        <f>AS9-O9</f>
        <v>0</v>
      </c>
    </row>
    <row r="123" spans="1:53" ht="45" customHeight="1" x14ac:dyDescent="0.25">
      <c r="A123" s="194">
        <v>28</v>
      </c>
      <c r="B123" s="135" t="s">
        <v>206</v>
      </c>
      <c r="C123" s="122">
        <v>6</v>
      </c>
      <c r="D123" s="89" t="s">
        <v>207</v>
      </c>
      <c r="E123" s="89" t="s">
        <v>33</v>
      </c>
      <c r="F123" s="89">
        <v>10</v>
      </c>
      <c r="G123" s="92" t="s">
        <v>208</v>
      </c>
      <c r="H123" s="87">
        <v>2486</v>
      </c>
      <c r="I123" s="87">
        <f t="shared" si="27"/>
        <v>24860</v>
      </c>
      <c r="J123" s="87" t="s">
        <v>59</v>
      </c>
      <c r="K123" s="30">
        <v>1.03</v>
      </c>
      <c r="L123" s="87">
        <f t="shared" ref="L123:L128" si="41">I123*K123</f>
        <v>25605.8</v>
      </c>
      <c r="M123" s="128">
        <f>L123</f>
        <v>25605.8</v>
      </c>
      <c r="N123" s="128">
        <f>M123*0.2</f>
        <v>5121.16</v>
      </c>
      <c r="O123" s="128">
        <f>M123+N123</f>
        <v>30726.959999999999</v>
      </c>
      <c r="P123" s="128">
        <f>O123*R123*S123</f>
        <v>35046.801852480006</v>
      </c>
      <c r="Q123" s="128">
        <f>X123+Y123+Z123+AA123+AB123+AC123</f>
        <v>42316.111734293809</v>
      </c>
      <c r="R123" s="124">
        <v>1.0740000000000001</v>
      </c>
      <c r="S123" s="124">
        <v>1.0620000000000001</v>
      </c>
      <c r="T123" s="124">
        <v>1.0509999999999999</v>
      </c>
      <c r="U123" s="124">
        <v>1.048</v>
      </c>
      <c r="V123" s="124">
        <v>1.0469999999999999</v>
      </c>
      <c r="W123" s="124">
        <v>1.0469999999999999</v>
      </c>
      <c r="X123" s="128">
        <v>0</v>
      </c>
      <c r="Y123" s="128">
        <v>0</v>
      </c>
      <c r="Z123" s="128">
        <v>0</v>
      </c>
      <c r="AA123" s="128">
        <v>0</v>
      </c>
      <c r="AB123" s="128">
        <v>0</v>
      </c>
      <c r="AC123" s="128">
        <f>P123*T123*U123*V123*W123</f>
        <v>42316.111734293809</v>
      </c>
      <c r="AD123" s="128">
        <f>O123</f>
        <v>30726.959999999999</v>
      </c>
      <c r="AE123" s="128">
        <f>AD123*AG123*AH123*AI123</f>
        <v>36525.433314078728</v>
      </c>
      <c r="AF123" s="128">
        <f>AM123+AN123+AO123+AP123+AQ123+AR123</f>
        <v>42161.908627395387</v>
      </c>
      <c r="AG123" s="124">
        <v>1.0680000000000001</v>
      </c>
      <c r="AH123" s="124">
        <v>1.056</v>
      </c>
      <c r="AI123" s="124">
        <v>1.054</v>
      </c>
      <c r="AJ123" s="124">
        <v>1.0509999999999999</v>
      </c>
      <c r="AK123" s="124">
        <v>1.0489999999999999</v>
      </c>
      <c r="AL123" s="124">
        <v>1.0469999999999999</v>
      </c>
      <c r="AM123" s="128">
        <v>0</v>
      </c>
      <c r="AN123" s="128">
        <v>0</v>
      </c>
      <c r="AO123" s="128">
        <v>0</v>
      </c>
      <c r="AP123" s="128">
        <v>0</v>
      </c>
      <c r="AQ123" s="128">
        <v>0</v>
      </c>
      <c r="AR123" s="128">
        <f>AD123*AG123*AH123*AI123*AJ123*AK123*AL123</f>
        <v>42161.908627395387</v>
      </c>
      <c r="AS123" s="87" t="s">
        <v>183</v>
      </c>
      <c r="AT123" s="87" t="s">
        <v>183</v>
      </c>
      <c r="AU123" s="87" t="s">
        <v>183</v>
      </c>
      <c r="AV123" s="87" t="s">
        <v>183</v>
      </c>
      <c r="AW123" s="87" t="s">
        <v>183</v>
      </c>
      <c r="AX123" s="87" t="s">
        <v>183</v>
      </c>
      <c r="AY123" s="87" t="s">
        <v>183</v>
      </c>
      <c r="AZ123" s="87" t="s">
        <v>183</v>
      </c>
      <c r="BA123" s="84">
        <f>AS9-O9</f>
        <v>0</v>
      </c>
    </row>
    <row r="124" spans="1:53" ht="60.75" customHeight="1" x14ac:dyDescent="0.25">
      <c r="A124" s="196"/>
      <c r="B124" s="135"/>
      <c r="C124" s="122"/>
      <c r="D124" s="89" t="s">
        <v>200</v>
      </c>
      <c r="E124" s="89" t="s">
        <v>33</v>
      </c>
      <c r="F124" s="89">
        <v>1</v>
      </c>
      <c r="G124" s="92" t="s">
        <v>201</v>
      </c>
      <c r="H124" s="87">
        <v>1996</v>
      </c>
      <c r="I124" s="87">
        <f t="shared" si="27"/>
        <v>1996</v>
      </c>
      <c r="J124" s="87" t="s">
        <v>100</v>
      </c>
      <c r="K124" s="30">
        <v>1.04</v>
      </c>
      <c r="L124" s="87">
        <f t="shared" si="41"/>
        <v>2075.84</v>
      </c>
      <c r="M124" s="130"/>
      <c r="N124" s="130"/>
      <c r="O124" s="130"/>
      <c r="P124" s="130"/>
      <c r="Q124" s="130"/>
      <c r="R124" s="126"/>
      <c r="S124" s="126"/>
      <c r="T124" s="126"/>
      <c r="U124" s="126"/>
      <c r="V124" s="126"/>
      <c r="W124" s="126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26"/>
      <c r="AH124" s="126"/>
      <c r="AI124" s="126"/>
      <c r="AJ124" s="126"/>
      <c r="AK124" s="126"/>
      <c r="AL124" s="126"/>
      <c r="AM124" s="130"/>
      <c r="AN124" s="130"/>
      <c r="AO124" s="130"/>
      <c r="AP124" s="130"/>
      <c r="AQ124" s="130"/>
      <c r="AR124" s="130"/>
      <c r="AS124" s="87" t="s">
        <v>183</v>
      </c>
      <c r="AT124" s="87" t="s">
        <v>183</v>
      </c>
      <c r="AU124" s="87" t="s">
        <v>183</v>
      </c>
      <c r="AV124" s="87" t="s">
        <v>183</v>
      </c>
      <c r="AW124" s="87" t="s">
        <v>183</v>
      </c>
      <c r="AX124" s="87" t="s">
        <v>183</v>
      </c>
      <c r="AY124" s="87" t="s">
        <v>183</v>
      </c>
      <c r="AZ124" s="87" t="s">
        <v>183</v>
      </c>
      <c r="BA124" s="84">
        <f>AS9-O9</f>
        <v>0</v>
      </c>
    </row>
    <row r="125" spans="1:53" ht="78.75" customHeight="1" x14ac:dyDescent="0.25">
      <c r="A125" s="131">
        <v>29</v>
      </c>
      <c r="B125" s="135" t="s">
        <v>212</v>
      </c>
      <c r="C125" s="122">
        <v>110</v>
      </c>
      <c r="D125" s="89" t="s">
        <v>127</v>
      </c>
      <c r="E125" s="47" t="s">
        <v>45</v>
      </c>
      <c r="F125" s="89">
        <v>370.65</v>
      </c>
      <c r="G125" s="29" t="s">
        <v>126</v>
      </c>
      <c r="H125" s="87">
        <v>101</v>
      </c>
      <c r="I125" s="87">
        <f>F125*H125</f>
        <v>37435.649999999994</v>
      </c>
      <c r="J125" s="47" t="s">
        <v>55</v>
      </c>
      <c r="K125" s="47">
        <v>1.05</v>
      </c>
      <c r="L125" s="87">
        <f t="shared" si="41"/>
        <v>39307.432499999995</v>
      </c>
      <c r="M125" s="123">
        <f>SUM(L125:L129)</f>
        <v>108042.1825</v>
      </c>
      <c r="N125" s="123">
        <f>M125*0.2</f>
        <v>21608.4365</v>
      </c>
      <c r="O125" s="123">
        <v>129650.61899999999</v>
      </c>
      <c r="P125" s="128">
        <f>O125*R125*S125</f>
        <v>147877.94022397199</v>
      </c>
      <c r="Q125" s="128">
        <f>AC125</f>
        <v>178550.37009923387</v>
      </c>
      <c r="R125" s="106">
        <v>1.0740000000000001</v>
      </c>
      <c r="S125" s="106">
        <v>1.0620000000000001</v>
      </c>
      <c r="T125" s="106">
        <v>1.0509999999999999</v>
      </c>
      <c r="U125" s="106">
        <v>1.048</v>
      </c>
      <c r="V125" s="106">
        <v>1.0469999999999999</v>
      </c>
      <c r="W125" s="106">
        <v>1.0469999999999999</v>
      </c>
      <c r="X125" s="123">
        <v>0</v>
      </c>
      <c r="Y125" s="123">
        <v>0</v>
      </c>
      <c r="Z125" s="123">
        <v>0</v>
      </c>
      <c r="AA125" s="123">
        <v>0</v>
      </c>
      <c r="AB125" s="123">
        <v>0</v>
      </c>
      <c r="AC125" s="123">
        <f>P125*T125*U125*V125*W125</f>
        <v>178550.37009923387</v>
      </c>
      <c r="AD125" s="123">
        <f>O125</f>
        <v>129650.61899999999</v>
      </c>
      <c r="AE125" s="128">
        <f>AD125*AG125*AH125*AI125</f>
        <v>154116.93960006224</v>
      </c>
      <c r="AF125" s="128">
        <f>AM125+AN125+AO125+AP125+AQ125+AR125</f>
        <v>177899.71906635904</v>
      </c>
      <c r="AG125" s="106">
        <v>1.0680000000000001</v>
      </c>
      <c r="AH125" s="106">
        <v>1.056</v>
      </c>
      <c r="AI125" s="106">
        <v>1.054</v>
      </c>
      <c r="AJ125" s="106">
        <v>1.0509999999999999</v>
      </c>
      <c r="AK125" s="106">
        <v>1.0489999999999999</v>
      </c>
      <c r="AL125" s="106">
        <v>1.0469999999999999</v>
      </c>
      <c r="AM125" s="128">
        <v>0</v>
      </c>
      <c r="AN125" s="128">
        <v>0</v>
      </c>
      <c r="AO125" s="128">
        <v>0</v>
      </c>
      <c r="AP125" s="128">
        <v>0</v>
      </c>
      <c r="AQ125" s="128">
        <v>0</v>
      </c>
      <c r="AR125" s="140">
        <f>AD125*AJ125*AK125*AL125*AG125*AH125*AI125</f>
        <v>177899.71906635904</v>
      </c>
      <c r="AS125" s="87" t="s">
        <v>183</v>
      </c>
      <c r="AT125" s="87" t="s">
        <v>183</v>
      </c>
      <c r="AU125" s="87" t="s">
        <v>183</v>
      </c>
      <c r="AV125" s="87" t="s">
        <v>183</v>
      </c>
      <c r="AW125" s="87" t="s">
        <v>183</v>
      </c>
      <c r="AX125" s="87" t="s">
        <v>183</v>
      </c>
      <c r="AY125" s="87" t="s">
        <v>183</v>
      </c>
      <c r="AZ125" s="87" t="s">
        <v>183</v>
      </c>
      <c r="BA125" s="66">
        <f>AS9-O9</f>
        <v>0</v>
      </c>
    </row>
    <row r="126" spans="1:53" ht="54.75" customHeight="1" x14ac:dyDescent="0.25">
      <c r="A126" s="131"/>
      <c r="B126" s="135"/>
      <c r="C126" s="122"/>
      <c r="D126" s="89" t="s">
        <v>128</v>
      </c>
      <c r="E126" s="89" t="s">
        <v>34</v>
      </c>
      <c r="F126" s="89">
        <v>12.5</v>
      </c>
      <c r="G126" s="29" t="s">
        <v>213</v>
      </c>
      <c r="H126" s="87">
        <v>716</v>
      </c>
      <c r="I126" s="87">
        <f t="shared" ref="I126" si="42">F126*H126</f>
        <v>8950</v>
      </c>
      <c r="J126" s="87" t="s">
        <v>55</v>
      </c>
      <c r="K126" s="30">
        <v>1.05</v>
      </c>
      <c r="L126" s="87">
        <f t="shared" si="41"/>
        <v>9397.5</v>
      </c>
      <c r="M126" s="123"/>
      <c r="N126" s="123"/>
      <c r="O126" s="123"/>
      <c r="P126" s="129"/>
      <c r="Q126" s="129"/>
      <c r="R126" s="116"/>
      <c r="S126" s="116"/>
      <c r="T126" s="116"/>
      <c r="U126" s="116"/>
      <c r="V126" s="116"/>
      <c r="W126" s="116"/>
      <c r="X126" s="123"/>
      <c r="Y126" s="123"/>
      <c r="Z126" s="123"/>
      <c r="AA126" s="123"/>
      <c r="AB126" s="123"/>
      <c r="AC126" s="123"/>
      <c r="AD126" s="123"/>
      <c r="AE126" s="129"/>
      <c r="AF126" s="129"/>
      <c r="AG126" s="116"/>
      <c r="AH126" s="116"/>
      <c r="AI126" s="116"/>
      <c r="AJ126" s="116"/>
      <c r="AK126" s="116"/>
      <c r="AL126" s="116"/>
      <c r="AM126" s="129"/>
      <c r="AN126" s="129"/>
      <c r="AO126" s="129"/>
      <c r="AP126" s="129"/>
      <c r="AQ126" s="129"/>
      <c r="AR126" s="141"/>
      <c r="AS126" s="87" t="s">
        <v>183</v>
      </c>
      <c r="AT126" s="87" t="s">
        <v>183</v>
      </c>
      <c r="AU126" s="87" t="s">
        <v>183</v>
      </c>
      <c r="AV126" s="87" t="s">
        <v>183</v>
      </c>
      <c r="AW126" s="87" t="s">
        <v>183</v>
      </c>
      <c r="AX126" s="87" t="s">
        <v>183</v>
      </c>
      <c r="AY126" s="87" t="s">
        <v>183</v>
      </c>
      <c r="AZ126" s="87" t="s">
        <v>183</v>
      </c>
      <c r="BA126" s="66">
        <f>AS9-O9</f>
        <v>0</v>
      </c>
    </row>
    <row r="127" spans="1:53" ht="64.5" customHeight="1" x14ac:dyDescent="0.25">
      <c r="A127" s="131"/>
      <c r="B127" s="135"/>
      <c r="C127" s="122"/>
      <c r="D127" s="89" t="s">
        <v>137</v>
      </c>
      <c r="E127" s="47" t="s">
        <v>34</v>
      </c>
      <c r="F127" s="89">
        <v>12.5</v>
      </c>
      <c r="G127" s="29" t="s">
        <v>138</v>
      </c>
      <c r="H127" s="87">
        <v>669</v>
      </c>
      <c r="I127" s="87">
        <f>F127*H127</f>
        <v>8362.5</v>
      </c>
      <c r="J127" s="47" t="s">
        <v>55</v>
      </c>
      <c r="K127" s="47">
        <v>1.05</v>
      </c>
      <c r="L127" s="87">
        <f t="shared" si="41"/>
        <v>8780.625</v>
      </c>
      <c r="M127" s="123"/>
      <c r="N127" s="123"/>
      <c r="O127" s="123"/>
      <c r="P127" s="129"/>
      <c r="Q127" s="129"/>
      <c r="R127" s="116"/>
      <c r="S127" s="116"/>
      <c r="T127" s="116"/>
      <c r="U127" s="116"/>
      <c r="V127" s="116"/>
      <c r="W127" s="116"/>
      <c r="X127" s="123"/>
      <c r="Y127" s="123"/>
      <c r="Z127" s="123"/>
      <c r="AA127" s="123"/>
      <c r="AB127" s="123"/>
      <c r="AC127" s="123"/>
      <c r="AD127" s="123"/>
      <c r="AE127" s="129"/>
      <c r="AF127" s="129"/>
      <c r="AG127" s="116"/>
      <c r="AH127" s="116"/>
      <c r="AI127" s="116"/>
      <c r="AJ127" s="116"/>
      <c r="AK127" s="116"/>
      <c r="AL127" s="116"/>
      <c r="AM127" s="129"/>
      <c r="AN127" s="129"/>
      <c r="AO127" s="129"/>
      <c r="AP127" s="129"/>
      <c r="AQ127" s="129"/>
      <c r="AR127" s="141"/>
      <c r="AS127" s="87" t="s">
        <v>183</v>
      </c>
      <c r="AT127" s="87" t="s">
        <v>183</v>
      </c>
      <c r="AU127" s="87" t="s">
        <v>183</v>
      </c>
      <c r="AV127" s="87" t="s">
        <v>183</v>
      </c>
      <c r="AW127" s="87" t="s">
        <v>183</v>
      </c>
      <c r="AX127" s="87" t="s">
        <v>183</v>
      </c>
      <c r="AY127" s="87" t="s">
        <v>183</v>
      </c>
      <c r="AZ127" s="87" t="s">
        <v>183</v>
      </c>
      <c r="BA127" s="66">
        <f>AS9-O9</f>
        <v>0</v>
      </c>
    </row>
    <row r="128" spans="1:53" ht="88.5" customHeight="1" x14ac:dyDescent="0.25">
      <c r="A128" s="131"/>
      <c r="B128" s="135"/>
      <c r="C128" s="122"/>
      <c r="D128" s="89" t="s">
        <v>214</v>
      </c>
      <c r="E128" s="47" t="s">
        <v>34</v>
      </c>
      <c r="F128" s="89">
        <v>12.5</v>
      </c>
      <c r="G128" s="29" t="s">
        <v>126</v>
      </c>
      <c r="H128" s="87">
        <v>2267</v>
      </c>
      <c r="I128" s="87">
        <f>F128*H128</f>
        <v>28337.5</v>
      </c>
      <c r="J128" s="47" t="s">
        <v>133</v>
      </c>
      <c r="K128" s="47">
        <v>1.59</v>
      </c>
      <c r="L128" s="87">
        <f t="shared" si="41"/>
        <v>45056.625</v>
      </c>
      <c r="M128" s="123"/>
      <c r="N128" s="123"/>
      <c r="O128" s="123"/>
      <c r="P128" s="129"/>
      <c r="Q128" s="129"/>
      <c r="R128" s="116"/>
      <c r="S128" s="116"/>
      <c r="T128" s="116"/>
      <c r="U128" s="116"/>
      <c r="V128" s="116"/>
      <c r="W128" s="116"/>
      <c r="X128" s="123"/>
      <c r="Y128" s="123"/>
      <c r="Z128" s="123"/>
      <c r="AA128" s="123"/>
      <c r="AB128" s="123"/>
      <c r="AC128" s="123"/>
      <c r="AD128" s="123"/>
      <c r="AE128" s="129"/>
      <c r="AF128" s="129"/>
      <c r="AG128" s="116"/>
      <c r="AH128" s="116"/>
      <c r="AI128" s="116"/>
      <c r="AJ128" s="116"/>
      <c r="AK128" s="116"/>
      <c r="AL128" s="116"/>
      <c r="AM128" s="129"/>
      <c r="AN128" s="129"/>
      <c r="AO128" s="129"/>
      <c r="AP128" s="129"/>
      <c r="AQ128" s="129"/>
      <c r="AR128" s="141"/>
      <c r="AS128" s="87" t="s">
        <v>183</v>
      </c>
      <c r="AT128" s="87" t="s">
        <v>183</v>
      </c>
      <c r="AU128" s="87" t="s">
        <v>183</v>
      </c>
      <c r="AV128" s="87" t="s">
        <v>183</v>
      </c>
      <c r="AW128" s="87" t="s">
        <v>183</v>
      </c>
      <c r="AX128" s="87" t="s">
        <v>183</v>
      </c>
      <c r="AY128" s="87" t="s">
        <v>183</v>
      </c>
      <c r="AZ128" s="87" t="s">
        <v>183</v>
      </c>
      <c r="BA128" s="66">
        <f>AS9-O9</f>
        <v>0</v>
      </c>
    </row>
    <row r="129" spans="1:53" ht="54" customHeight="1" x14ac:dyDescent="0.25">
      <c r="A129" s="131"/>
      <c r="B129" s="135"/>
      <c r="C129" s="122"/>
      <c r="D129" s="89" t="s">
        <v>140</v>
      </c>
      <c r="E129" s="47" t="s">
        <v>215</v>
      </c>
      <c r="F129" s="89">
        <v>1</v>
      </c>
      <c r="G129" s="29" t="s">
        <v>216</v>
      </c>
      <c r="H129" s="87">
        <v>5500</v>
      </c>
      <c r="I129" s="87">
        <f>H129</f>
        <v>5500</v>
      </c>
      <c r="J129" s="47" t="s">
        <v>36</v>
      </c>
      <c r="K129" s="47" t="s">
        <v>36</v>
      </c>
      <c r="L129" s="87">
        <f>H129</f>
        <v>5500</v>
      </c>
      <c r="M129" s="123"/>
      <c r="N129" s="123"/>
      <c r="O129" s="123"/>
      <c r="P129" s="130"/>
      <c r="Q129" s="130"/>
      <c r="R129" s="107"/>
      <c r="S129" s="107"/>
      <c r="T129" s="107"/>
      <c r="U129" s="107"/>
      <c r="V129" s="107"/>
      <c r="W129" s="107"/>
      <c r="X129" s="123"/>
      <c r="Y129" s="123"/>
      <c r="Z129" s="123"/>
      <c r="AA129" s="123"/>
      <c r="AB129" s="123"/>
      <c r="AC129" s="123"/>
      <c r="AD129" s="123"/>
      <c r="AE129" s="130"/>
      <c r="AF129" s="130"/>
      <c r="AG129" s="107"/>
      <c r="AH129" s="107"/>
      <c r="AI129" s="107"/>
      <c r="AJ129" s="107"/>
      <c r="AK129" s="107"/>
      <c r="AL129" s="107"/>
      <c r="AM129" s="130"/>
      <c r="AN129" s="130"/>
      <c r="AO129" s="130"/>
      <c r="AP129" s="130"/>
      <c r="AQ129" s="130"/>
      <c r="AR129" s="142"/>
      <c r="AS129" s="87" t="s">
        <v>183</v>
      </c>
      <c r="AT129" s="87" t="s">
        <v>183</v>
      </c>
      <c r="AU129" s="87" t="s">
        <v>183</v>
      </c>
      <c r="AV129" s="87" t="s">
        <v>183</v>
      </c>
      <c r="AW129" s="87" t="s">
        <v>183</v>
      </c>
      <c r="AX129" s="87" t="s">
        <v>183</v>
      </c>
      <c r="AY129" s="87" t="s">
        <v>183</v>
      </c>
      <c r="AZ129" s="87" t="s">
        <v>183</v>
      </c>
      <c r="BA129" s="66">
        <f>AS9-O9</f>
        <v>0</v>
      </c>
    </row>
    <row r="130" spans="1:53" ht="82.5" customHeight="1" x14ac:dyDescent="0.25">
      <c r="A130" s="143">
        <v>30</v>
      </c>
      <c r="B130" s="144" t="s">
        <v>217</v>
      </c>
      <c r="C130" s="145" t="s">
        <v>218</v>
      </c>
      <c r="D130" s="47" t="s">
        <v>219</v>
      </c>
      <c r="E130" s="47" t="s">
        <v>37</v>
      </c>
      <c r="F130" s="47">
        <v>2</v>
      </c>
      <c r="G130" s="46" t="s">
        <v>220</v>
      </c>
      <c r="H130" s="53">
        <v>40670</v>
      </c>
      <c r="I130" s="87">
        <f t="shared" ref="I130:I131" si="43">F130*H130</f>
        <v>81340</v>
      </c>
      <c r="J130" s="47" t="s">
        <v>67</v>
      </c>
      <c r="K130" s="47">
        <v>1.04</v>
      </c>
      <c r="L130" s="87">
        <f t="shared" ref="L130" si="44">I130*K130</f>
        <v>84593.600000000006</v>
      </c>
      <c r="M130" s="123">
        <f>SUM(L130:L134)</f>
        <v>283784.62</v>
      </c>
      <c r="N130" s="123">
        <f>M130*0.2</f>
        <v>56756.923999999999</v>
      </c>
      <c r="O130" s="123">
        <v>340541.54399999999</v>
      </c>
      <c r="P130" s="128">
        <f>O130*R130*S130</f>
        <v>388417.59858787205</v>
      </c>
      <c r="Q130" s="128">
        <f>AB130</f>
        <v>447929.41112449695</v>
      </c>
      <c r="R130" s="124">
        <v>1.0740000000000001</v>
      </c>
      <c r="S130" s="124">
        <v>1.0620000000000001</v>
      </c>
      <c r="T130" s="124">
        <v>1.0509999999999999</v>
      </c>
      <c r="U130" s="124">
        <v>1.048</v>
      </c>
      <c r="V130" s="124">
        <v>1.0469999999999999</v>
      </c>
      <c r="W130" s="124">
        <v>1.0469999999999999</v>
      </c>
      <c r="X130" s="128">
        <v>0</v>
      </c>
      <c r="Y130" s="123">
        <v>0</v>
      </c>
      <c r="Z130" s="123">
        <v>0</v>
      </c>
      <c r="AA130" s="123">
        <v>0</v>
      </c>
      <c r="AB130" s="123">
        <f>P130*T130*U130*V130</f>
        <v>447929.41112449695</v>
      </c>
      <c r="AC130" s="123">
        <v>0</v>
      </c>
      <c r="AD130" s="123">
        <f>(L130+L131+L132+L133+L134)*1.2</f>
        <v>340541.54399999999</v>
      </c>
      <c r="AE130" s="128">
        <f>AD130*AG130*AH130*AI130</f>
        <v>404805.01344895188</v>
      </c>
      <c r="AF130" s="128">
        <f>AM130+AN130+AO130+AP130+AQ130+AR130</f>
        <v>446297.12252245593</v>
      </c>
      <c r="AG130" s="106">
        <v>1.0680000000000001</v>
      </c>
      <c r="AH130" s="106">
        <v>1.056</v>
      </c>
      <c r="AI130" s="106">
        <v>1.054</v>
      </c>
      <c r="AJ130" s="106">
        <v>1.0509999999999999</v>
      </c>
      <c r="AK130" s="106">
        <v>1.0489999999999999</v>
      </c>
      <c r="AL130" s="106">
        <v>1.0469999999999999</v>
      </c>
      <c r="AM130" s="123">
        <v>0</v>
      </c>
      <c r="AN130" s="123">
        <v>0</v>
      </c>
      <c r="AO130" s="123">
        <v>0</v>
      </c>
      <c r="AP130" s="123">
        <v>0</v>
      </c>
      <c r="AQ130" s="123">
        <f>AD130*AI130*AJ130*AK130*AH130*AG130</f>
        <v>446297.12252245593</v>
      </c>
      <c r="AR130" s="123">
        <v>0</v>
      </c>
      <c r="AS130" s="87" t="s">
        <v>183</v>
      </c>
      <c r="AT130" s="87" t="s">
        <v>183</v>
      </c>
      <c r="AU130" s="87" t="s">
        <v>183</v>
      </c>
      <c r="AV130" s="87" t="s">
        <v>183</v>
      </c>
      <c r="AW130" s="87" t="s">
        <v>183</v>
      </c>
      <c r="AX130" s="87" t="s">
        <v>183</v>
      </c>
      <c r="AY130" s="87" t="s">
        <v>183</v>
      </c>
      <c r="AZ130" s="87" t="s">
        <v>183</v>
      </c>
      <c r="BA130" s="139">
        <f>AS9-O9</f>
        <v>0</v>
      </c>
    </row>
    <row r="131" spans="1:53" ht="41.25" customHeight="1" x14ac:dyDescent="0.25">
      <c r="A131" s="143"/>
      <c r="B131" s="144"/>
      <c r="C131" s="145"/>
      <c r="D131" s="47" t="s">
        <v>160</v>
      </c>
      <c r="E131" s="47" t="s">
        <v>41</v>
      </c>
      <c r="F131" s="47">
        <v>1</v>
      </c>
      <c r="G131" s="29" t="s">
        <v>98</v>
      </c>
      <c r="H131" s="47">
        <v>29099</v>
      </c>
      <c r="I131" s="87">
        <f t="shared" si="43"/>
        <v>29099</v>
      </c>
      <c r="J131" s="47" t="s">
        <v>36</v>
      </c>
      <c r="K131" s="47" t="s">
        <v>36</v>
      </c>
      <c r="L131" s="87">
        <f>I131</f>
        <v>29099</v>
      </c>
      <c r="M131" s="123"/>
      <c r="N131" s="123"/>
      <c r="O131" s="123"/>
      <c r="P131" s="129"/>
      <c r="Q131" s="129"/>
      <c r="R131" s="125"/>
      <c r="S131" s="125"/>
      <c r="T131" s="125"/>
      <c r="U131" s="125"/>
      <c r="V131" s="125"/>
      <c r="W131" s="125"/>
      <c r="X131" s="129"/>
      <c r="Y131" s="123"/>
      <c r="Z131" s="123"/>
      <c r="AA131" s="123"/>
      <c r="AB131" s="123"/>
      <c r="AC131" s="123"/>
      <c r="AD131" s="123"/>
      <c r="AE131" s="129"/>
      <c r="AF131" s="129"/>
      <c r="AG131" s="116"/>
      <c r="AH131" s="116"/>
      <c r="AI131" s="116"/>
      <c r="AJ131" s="116"/>
      <c r="AK131" s="116"/>
      <c r="AL131" s="116"/>
      <c r="AM131" s="123"/>
      <c r="AN131" s="123"/>
      <c r="AO131" s="123"/>
      <c r="AP131" s="123"/>
      <c r="AQ131" s="123"/>
      <c r="AR131" s="123"/>
      <c r="AS131" s="87" t="s">
        <v>183</v>
      </c>
      <c r="AT131" s="87" t="s">
        <v>183</v>
      </c>
      <c r="AU131" s="87" t="s">
        <v>183</v>
      </c>
      <c r="AV131" s="87" t="s">
        <v>183</v>
      </c>
      <c r="AW131" s="87" t="s">
        <v>183</v>
      </c>
      <c r="AX131" s="87" t="s">
        <v>183</v>
      </c>
      <c r="AY131" s="87" t="s">
        <v>183</v>
      </c>
      <c r="AZ131" s="87" t="s">
        <v>183</v>
      </c>
      <c r="BA131" s="139"/>
    </row>
    <row r="132" spans="1:53" ht="72.75" customHeight="1" x14ac:dyDescent="0.25">
      <c r="A132" s="143"/>
      <c r="B132" s="144"/>
      <c r="C132" s="145"/>
      <c r="D132" s="47" t="s">
        <v>221</v>
      </c>
      <c r="E132" s="47" t="s">
        <v>37</v>
      </c>
      <c r="F132" s="47">
        <v>2</v>
      </c>
      <c r="G132" s="46" t="s">
        <v>222</v>
      </c>
      <c r="H132" s="47">
        <v>51394</v>
      </c>
      <c r="I132" s="87">
        <f>H132*F132</f>
        <v>102788</v>
      </c>
      <c r="J132" s="47" t="s">
        <v>92</v>
      </c>
      <c r="K132" s="47">
        <v>1.05</v>
      </c>
      <c r="L132" s="87">
        <f t="shared" ref="L132:L138" si="45">I132*K132</f>
        <v>107927.40000000001</v>
      </c>
      <c r="M132" s="123"/>
      <c r="N132" s="123"/>
      <c r="O132" s="123"/>
      <c r="P132" s="129"/>
      <c r="Q132" s="129"/>
      <c r="R132" s="125"/>
      <c r="S132" s="125"/>
      <c r="T132" s="125"/>
      <c r="U132" s="125"/>
      <c r="V132" s="125"/>
      <c r="W132" s="125"/>
      <c r="X132" s="129"/>
      <c r="Y132" s="123"/>
      <c r="Z132" s="123"/>
      <c r="AA132" s="123"/>
      <c r="AB132" s="123"/>
      <c r="AC132" s="123"/>
      <c r="AD132" s="123"/>
      <c r="AE132" s="129"/>
      <c r="AF132" s="129"/>
      <c r="AG132" s="116"/>
      <c r="AH132" s="116"/>
      <c r="AI132" s="116"/>
      <c r="AJ132" s="116"/>
      <c r="AK132" s="116"/>
      <c r="AL132" s="116"/>
      <c r="AM132" s="123"/>
      <c r="AN132" s="123"/>
      <c r="AO132" s="123"/>
      <c r="AP132" s="123"/>
      <c r="AQ132" s="123"/>
      <c r="AR132" s="123"/>
      <c r="AS132" s="87" t="s">
        <v>183</v>
      </c>
      <c r="AT132" s="87" t="s">
        <v>183</v>
      </c>
      <c r="AU132" s="87" t="s">
        <v>183</v>
      </c>
      <c r="AV132" s="87" t="s">
        <v>183</v>
      </c>
      <c r="AW132" s="87" t="s">
        <v>183</v>
      </c>
      <c r="AX132" s="87" t="s">
        <v>183</v>
      </c>
      <c r="AY132" s="87" t="s">
        <v>183</v>
      </c>
      <c r="AZ132" s="87" t="s">
        <v>183</v>
      </c>
      <c r="BA132" s="139"/>
    </row>
    <row r="133" spans="1:53" ht="64.5" customHeight="1" x14ac:dyDescent="0.25">
      <c r="A133" s="143"/>
      <c r="B133" s="144"/>
      <c r="C133" s="145"/>
      <c r="D133" s="47" t="s">
        <v>87</v>
      </c>
      <c r="E133" s="47" t="s">
        <v>37</v>
      </c>
      <c r="F133" s="47">
        <v>9</v>
      </c>
      <c r="G133" s="46" t="s">
        <v>223</v>
      </c>
      <c r="H133" s="47">
        <v>5518</v>
      </c>
      <c r="I133" s="87">
        <f t="shared" ref="I133:I146" si="46">F133*H133</f>
        <v>49662</v>
      </c>
      <c r="J133" s="47" t="s">
        <v>59</v>
      </c>
      <c r="K133" s="47">
        <v>1.03</v>
      </c>
      <c r="L133" s="87">
        <f t="shared" si="45"/>
        <v>51151.86</v>
      </c>
      <c r="M133" s="123"/>
      <c r="N133" s="123"/>
      <c r="O133" s="123"/>
      <c r="P133" s="129"/>
      <c r="Q133" s="129"/>
      <c r="R133" s="125"/>
      <c r="S133" s="125"/>
      <c r="T133" s="125"/>
      <c r="U133" s="125"/>
      <c r="V133" s="125"/>
      <c r="W133" s="125"/>
      <c r="X133" s="129"/>
      <c r="Y133" s="123"/>
      <c r="Z133" s="123"/>
      <c r="AA133" s="123"/>
      <c r="AB133" s="123"/>
      <c r="AC133" s="123"/>
      <c r="AD133" s="123"/>
      <c r="AE133" s="129"/>
      <c r="AF133" s="129"/>
      <c r="AG133" s="116"/>
      <c r="AH133" s="116"/>
      <c r="AI133" s="116"/>
      <c r="AJ133" s="116"/>
      <c r="AK133" s="116"/>
      <c r="AL133" s="116"/>
      <c r="AM133" s="123"/>
      <c r="AN133" s="123"/>
      <c r="AO133" s="123"/>
      <c r="AP133" s="123"/>
      <c r="AQ133" s="123"/>
      <c r="AR133" s="123"/>
      <c r="AS133" s="87" t="s">
        <v>183</v>
      </c>
      <c r="AT133" s="87" t="s">
        <v>183</v>
      </c>
      <c r="AU133" s="87" t="s">
        <v>183</v>
      </c>
      <c r="AV133" s="87" t="s">
        <v>183</v>
      </c>
      <c r="AW133" s="87" t="s">
        <v>183</v>
      </c>
      <c r="AX133" s="87" t="s">
        <v>183</v>
      </c>
      <c r="AY133" s="87" t="s">
        <v>183</v>
      </c>
      <c r="AZ133" s="87" t="s">
        <v>183</v>
      </c>
      <c r="BA133" s="139"/>
    </row>
    <row r="134" spans="1:53" ht="60" customHeight="1" x14ac:dyDescent="0.25">
      <c r="A134" s="143"/>
      <c r="B134" s="144"/>
      <c r="C134" s="145"/>
      <c r="D134" s="47" t="s">
        <v>163</v>
      </c>
      <c r="E134" s="47" t="s">
        <v>37</v>
      </c>
      <c r="F134" s="47">
        <v>9</v>
      </c>
      <c r="G134" s="46" t="s">
        <v>224</v>
      </c>
      <c r="H134" s="47">
        <v>1188</v>
      </c>
      <c r="I134" s="87">
        <f t="shared" si="46"/>
        <v>10692</v>
      </c>
      <c r="J134" s="47" t="s">
        <v>59</v>
      </c>
      <c r="K134" s="47">
        <v>1.03</v>
      </c>
      <c r="L134" s="87">
        <f t="shared" si="45"/>
        <v>11012.76</v>
      </c>
      <c r="M134" s="123"/>
      <c r="N134" s="123"/>
      <c r="O134" s="123"/>
      <c r="P134" s="130"/>
      <c r="Q134" s="130"/>
      <c r="R134" s="126"/>
      <c r="S134" s="126"/>
      <c r="T134" s="126"/>
      <c r="U134" s="126"/>
      <c r="V134" s="126"/>
      <c r="W134" s="126"/>
      <c r="X134" s="130"/>
      <c r="Y134" s="123"/>
      <c r="Z134" s="123"/>
      <c r="AA134" s="123"/>
      <c r="AB134" s="123"/>
      <c r="AC134" s="123"/>
      <c r="AD134" s="123"/>
      <c r="AE134" s="130"/>
      <c r="AF134" s="130"/>
      <c r="AG134" s="107"/>
      <c r="AH134" s="107"/>
      <c r="AI134" s="107"/>
      <c r="AJ134" s="107"/>
      <c r="AK134" s="107"/>
      <c r="AL134" s="107"/>
      <c r="AM134" s="123"/>
      <c r="AN134" s="123"/>
      <c r="AO134" s="123"/>
      <c r="AP134" s="123"/>
      <c r="AQ134" s="123"/>
      <c r="AR134" s="123"/>
      <c r="AS134" s="87" t="s">
        <v>183</v>
      </c>
      <c r="AT134" s="87" t="s">
        <v>183</v>
      </c>
      <c r="AU134" s="87" t="s">
        <v>183</v>
      </c>
      <c r="AV134" s="87" t="s">
        <v>183</v>
      </c>
      <c r="AW134" s="87" t="s">
        <v>183</v>
      </c>
      <c r="AX134" s="87" t="s">
        <v>183</v>
      </c>
      <c r="AY134" s="87" t="s">
        <v>183</v>
      </c>
      <c r="AZ134" s="87" t="s">
        <v>183</v>
      </c>
      <c r="BA134" s="139"/>
    </row>
    <row r="135" spans="1:53" ht="37.5" customHeight="1" x14ac:dyDescent="0.25">
      <c r="A135" s="102">
        <v>31</v>
      </c>
      <c r="B135" s="132" t="s">
        <v>241</v>
      </c>
      <c r="C135" s="108">
        <v>6</v>
      </c>
      <c r="D135" s="89" t="s">
        <v>38</v>
      </c>
      <c r="E135" s="89" t="s">
        <v>37</v>
      </c>
      <c r="F135" s="89">
        <v>0</v>
      </c>
      <c r="G135" s="92" t="s">
        <v>39</v>
      </c>
      <c r="H135" s="87">
        <v>1663</v>
      </c>
      <c r="I135" s="87">
        <f t="shared" si="46"/>
        <v>0</v>
      </c>
      <c r="J135" s="87" t="s">
        <v>54</v>
      </c>
      <c r="K135" s="30">
        <v>1.1000000000000001</v>
      </c>
      <c r="L135" s="87">
        <f t="shared" si="45"/>
        <v>0</v>
      </c>
      <c r="M135" s="128" t="s">
        <v>183</v>
      </c>
      <c r="N135" s="128" t="s">
        <v>183</v>
      </c>
      <c r="O135" s="128" t="s">
        <v>183</v>
      </c>
      <c r="P135" s="128" t="s">
        <v>183</v>
      </c>
      <c r="Q135" s="128" t="s">
        <v>183</v>
      </c>
      <c r="R135" s="128" t="s">
        <v>183</v>
      </c>
      <c r="S135" s="128" t="s">
        <v>183</v>
      </c>
      <c r="T135" s="128" t="s">
        <v>183</v>
      </c>
      <c r="U135" s="128" t="s">
        <v>183</v>
      </c>
      <c r="V135" s="128" t="s">
        <v>183</v>
      </c>
      <c r="W135" s="128" t="s">
        <v>183</v>
      </c>
      <c r="X135" s="128" t="s">
        <v>183</v>
      </c>
      <c r="Y135" s="128" t="s">
        <v>183</v>
      </c>
      <c r="Z135" s="128" t="s">
        <v>183</v>
      </c>
      <c r="AA135" s="128" t="s">
        <v>183</v>
      </c>
      <c r="AB135" s="128" t="s">
        <v>183</v>
      </c>
      <c r="AC135" s="128" t="s">
        <v>183</v>
      </c>
      <c r="AD135" s="128">
        <f>SUM(L135:L140)*1.2</f>
        <v>1427.20992</v>
      </c>
      <c r="AE135" s="128">
        <f>AD135*AG135*AH135</f>
        <v>1589.5379218809601</v>
      </c>
      <c r="AF135" s="128">
        <f>AM135+AN135+AO135+AP135+AQ135+AR135</f>
        <v>1589.5379218809601</v>
      </c>
      <c r="AG135" s="124">
        <v>1.0740000000000001</v>
      </c>
      <c r="AH135" s="124">
        <v>1.0369999999999999</v>
      </c>
      <c r="AI135" s="124">
        <v>1.0389999999999999</v>
      </c>
      <c r="AJ135" s="124">
        <v>1.0509999999999999</v>
      </c>
      <c r="AK135" s="124">
        <v>1.0489999999999999</v>
      </c>
      <c r="AL135" s="124">
        <v>1.0469999999999999</v>
      </c>
      <c r="AM135" s="124">
        <v>0</v>
      </c>
      <c r="AN135" s="128">
        <f>AD135*AG135*AH135</f>
        <v>1589.5379218809601</v>
      </c>
      <c r="AO135" s="124">
        <v>0</v>
      </c>
      <c r="AP135" s="124">
        <v>0</v>
      </c>
      <c r="AQ135" s="124">
        <v>0</v>
      </c>
      <c r="AR135" s="124">
        <v>0</v>
      </c>
      <c r="AS135" s="124">
        <f>SUM(L135:L140)*1.2</f>
        <v>1427.20992</v>
      </c>
      <c r="AT135" s="128">
        <v>1907.4455062571519</v>
      </c>
      <c r="AU135" s="124">
        <v>1.0740000000000001</v>
      </c>
      <c r="AV135" s="124">
        <v>1.0369999999999999</v>
      </c>
      <c r="AW135" s="124">
        <v>1.0389999999999999</v>
      </c>
      <c r="AX135" s="128">
        <v>0</v>
      </c>
      <c r="AY135" s="128">
        <v>1907.4455062571519</v>
      </c>
      <c r="AZ135" s="128">
        <v>0</v>
      </c>
      <c r="BA135" s="136">
        <f>AS9-O9</f>
        <v>0</v>
      </c>
    </row>
    <row r="136" spans="1:53" ht="98.25" customHeight="1" x14ac:dyDescent="0.25">
      <c r="A136" s="114"/>
      <c r="B136" s="133"/>
      <c r="C136" s="117"/>
      <c r="D136" s="89" t="s">
        <v>42</v>
      </c>
      <c r="E136" s="89" t="s">
        <v>34</v>
      </c>
      <c r="F136" s="89">
        <v>0.29199999999999998</v>
      </c>
      <c r="G136" s="29" t="s">
        <v>43</v>
      </c>
      <c r="H136" s="87">
        <v>699</v>
      </c>
      <c r="I136" s="87">
        <f t="shared" si="46"/>
        <v>204.10799999999998</v>
      </c>
      <c r="J136" s="87" t="s">
        <v>55</v>
      </c>
      <c r="K136" s="30">
        <v>1.05</v>
      </c>
      <c r="L136" s="87">
        <f t="shared" si="45"/>
        <v>214.31339999999997</v>
      </c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5"/>
      <c r="AH136" s="125"/>
      <c r="AI136" s="125"/>
      <c r="AJ136" s="125"/>
      <c r="AK136" s="125"/>
      <c r="AL136" s="125"/>
      <c r="AM136" s="125"/>
      <c r="AN136" s="129"/>
      <c r="AO136" s="125"/>
      <c r="AP136" s="125"/>
      <c r="AQ136" s="125"/>
      <c r="AR136" s="125"/>
      <c r="AS136" s="125"/>
      <c r="AT136" s="129"/>
      <c r="AU136" s="125"/>
      <c r="AV136" s="125"/>
      <c r="AW136" s="125"/>
      <c r="AX136" s="129"/>
      <c r="AY136" s="129"/>
      <c r="AZ136" s="129"/>
      <c r="BA136" s="137"/>
    </row>
    <row r="137" spans="1:53" ht="66" customHeight="1" x14ac:dyDescent="0.25">
      <c r="A137" s="114"/>
      <c r="B137" s="133"/>
      <c r="C137" s="117"/>
      <c r="D137" s="89" t="s">
        <v>44</v>
      </c>
      <c r="E137" s="89" t="s">
        <v>45</v>
      </c>
      <c r="F137" s="89">
        <v>10.17</v>
      </c>
      <c r="G137" s="29" t="s">
        <v>46</v>
      </c>
      <c r="H137" s="87">
        <v>17</v>
      </c>
      <c r="I137" s="87">
        <f t="shared" si="46"/>
        <v>172.89</v>
      </c>
      <c r="J137" s="87" t="s">
        <v>55</v>
      </c>
      <c r="K137" s="30">
        <v>1.05</v>
      </c>
      <c r="L137" s="87">
        <f t="shared" si="45"/>
        <v>181.53449999999998</v>
      </c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5"/>
      <c r="AH137" s="125"/>
      <c r="AI137" s="125"/>
      <c r="AJ137" s="125"/>
      <c r="AK137" s="125"/>
      <c r="AL137" s="125"/>
      <c r="AM137" s="125"/>
      <c r="AN137" s="129"/>
      <c r="AO137" s="125"/>
      <c r="AP137" s="125"/>
      <c r="AQ137" s="125"/>
      <c r="AR137" s="125"/>
      <c r="AS137" s="125"/>
      <c r="AT137" s="129"/>
      <c r="AU137" s="125"/>
      <c r="AV137" s="125"/>
      <c r="AW137" s="125"/>
      <c r="AX137" s="129"/>
      <c r="AY137" s="129"/>
      <c r="AZ137" s="129"/>
      <c r="BA137" s="137"/>
    </row>
    <row r="138" spans="1:53" ht="90.75" customHeight="1" x14ac:dyDescent="0.25">
      <c r="A138" s="114"/>
      <c r="B138" s="133"/>
      <c r="C138" s="117"/>
      <c r="D138" s="89" t="s">
        <v>57</v>
      </c>
      <c r="E138" s="89" t="s">
        <v>34</v>
      </c>
      <c r="F138" s="89">
        <v>1.1379999999999999</v>
      </c>
      <c r="G138" s="29" t="s">
        <v>58</v>
      </c>
      <c r="H138" s="87">
        <v>413</v>
      </c>
      <c r="I138" s="87">
        <f t="shared" si="46"/>
        <v>469.99399999999997</v>
      </c>
      <c r="J138" s="87" t="s">
        <v>55</v>
      </c>
      <c r="K138" s="30">
        <v>1.05</v>
      </c>
      <c r="L138" s="87">
        <f t="shared" si="45"/>
        <v>493.49369999999999</v>
      </c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5"/>
      <c r="AH138" s="125"/>
      <c r="AI138" s="125"/>
      <c r="AJ138" s="125"/>
      <c r="AK138" s="125"/>
      <c r="AL138" s="125"/>
      <c r="AM138" s="125"/>
      <c r="AN138" s="129"/>
      <c r="AO138" s="125"/>
      <c r="AP138" s="125"/>
      <c r="AQ138" s="125"/>
      <c r="AR138" s="125"/>
      <c r="AS138" s="125"/>
      <c r="AT138" s="129"/>
      <c r="AU138" s="125"/>
      <c r="AV138" s="125"/>
      <c r="AW138" s="125"/>
      <c r="AX138" s="129"/>
      <c r="AY138" s="129"/>
      <c r="AZ138" s="129"/>
      <c r="BA138" s="137"/>
    </row>
    <row r="139" spans="1:53" ht="76.5" customHeight="1" x14ac:dyDescent="0.25">
      <c r="A139" s="114"/>
      <c r="B139" s="133"/>
      <c r="C139" s="117"/>
      <c r="D139" s="89" t="s">
        <v>48</v>
      </c>
      <c r="E139" s="89" t="s">
        <v>49</v>
      </c>
      <c r="F139" s="89">
        <v>0</v>
      </c>
      <c r="G139" s="29" t="s">
        <v>51</v>
      </c>
      <c r="H139" s="87">
        <v>187</v>
      </c>
      <c r="I139" s="87">
        <f t="shared" si="46"/>
        <v>0</v>
      </c>
      <c r="J139" s="87" t="s">
        <v>36</v>
      </c>
      <c r="K139" s="30" t="s">
        <v>36</v>
      </c>
      <c r="L139" s="87">
        <f>I139</f>
        <v>0</v>
      </c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5"/>
      <c r="AH139" s="125"/>
      <c r="AI139" s="125"/>
      <c r="AJ139" s="125"/>
      <c r="AK139" s="125"/>
      <c r="AL139" s="125"/>
      <c r="AM139" s="125"/>
      <c r="AN139" s="129"/>
      <c r="AO139" s="125"/>
      <c r="AP139" s="125"/>
      <c r="AQ139" s="125"/>
      <c r="AR139" s="125"/>
      <c r="AS139" s="125"/>
      <c r="AT139" s="129"/>
      <c r="AU139" s="125"/>
      <c r="AV139" s="125"/>
      <c r="AW139" s="125"/>
      <c r="AX139" s="129"/>
      <c r="AY139" s="129"/>
      <c r="AZ139" s="129"/>
      <c r="BA139" s="137"/>
    </row>
    <row r="140" spans="1:53" ht="30" x14ac:dyDescent="0.25">
      <c r="A140" s="103"/>
      <c r="B140" s="134"/>
      <c r="C140" s="109"/>
      <c r="D140" s="89" t="s">
        <v>40</v>
      </c>
      <c r="E140" s="89" t="s">
        <v>41</v>
      </c>
      <c r="F140" s="89">
        <v>1</v>
      </c>
      <c r="G140" s="29" t="s">
        <v>240</v>
      </c>
      <c r="H140" s="87">
        <v>300</v>
      </c>
      <c r="I140" s="87">
        <f t="shared" si="46"/>
        <v>300</v>
      </c>
      <c r="J140" s="87" t="s">
        <v>36</v>
      </c>
      <c r="K140" s="87" t="s">
        <v>36</v>
      </c>
      <c r="L140" s="87">
        <f>I140</f>
        <v>300</v>
      </c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26"/>
      <c r="AH140" s="126"/>
      <c r="AI140" s="126"/>
      <c r="AJ140" s="126"/>
      <c r="AK140" s="126"/>
      <c r="AL140" s="126"/>
      <c r="AM140" s="126"/>
      <c r="AN140" s="130"/>
      <c r="AO140" s="126"/>
      <c r="AP140" s="126"/>
      <c r="AQ140" s="126"/>
      <c r="AR140" s="126"/>
      <c r="AS140" s="126"/>
      <c r="AT140" s="130"/>
      <c r="AU140" s="126"/>
      <c r="AV140" s="126"/>
      <c r="AW140" s="126"/>
      <c r="AX140" s="130"/>
      <c r="AY140" s="130"/>
      <c r="AZ140" s="130"/>
      <c r="BA140" s="138"/>
    </row>
    <row r="141" spans="1:53" x14ac:dyDescent="0.25">
      <c r="A141" s="131">
        <v>32</v>
      </c>
      <c r="B141" s="132" t="s">
        <v>239</v>
      </c>
      <c r="C141" s="108">
        <v>6</v>
      </c>
      <c r="D141" s="89" t="s">
        <v>38</v>
      </c>
      <c r="E141" s="89" t="s">
        <v>37</v>
      </c>
      <c r="F141" s="89">
        <v>1</v>
      </c>
      <c r="G141" s="92" t="s">
        <v>39</v>
      </c>
      <c r="H141" s="87">
        <v>1663</v>
      </c>
      <c r="I141" s="87">
        <f t="shared" si="46"/>
        <v>1663</v>
      </c>
      <c r="J141" s="87" t="s">
        <v>54</v>
      </c>
      <c r="K141" s="30">
        <v>1.1000000000000001</v>
      </c>
      <c r="L141" s="87">
        <f>I141*K141</f>
        <v>1829.3000000000002</v>
      </c>
      <c r="M141" s="128" t="s">
        <v>183</v>
      </c>
      <c r="N141" s="128" t="s">
        <v>183</v>
      </c>
      <c r="O141" s="128" t="s">
        <v>183</v>
      </c>
      <c r="P141" s="128" t="s">
        <v>183</v>
      </c>
      <c r="Q141" s="128" t="s">
        <v>183</v>
      </c>
      <c r="R141" s="128" t="s">
        <v>183</v>
      </c>
      <c r="S141" s="128" t="s">
        <v>183</v>
      </c>
      <c r="T141" s="128" t="s">
        <v>183</v>
      </c>
      <c r="U141" s="128" t="s">
        <v>183</v>
      </c>
      <c r="V141" s="128" t="s">
        <v>183</v>
      </c>
      <c r="W141" s="128" t="s">
        <v>183</v>
      </c>
      <c r="X141" s="128" t="s">
        <v>183</v>
      </c>
      <c r="Y141" s="128" t="s">
        <v>183</v>
      </c>
      <c r="Z141" s="128" t="s">
        <v>183</v>
      </c>
      <c r="AA141" s="128" t="s">
        <v>183</v>
      </c>
      <c r="AB141" s="128" t="s">
        <v>183</v>
      </c>
      <c r="AC141" s="128" t="s">
        <v>183</v>
      </c>
      <c r="AD141" s="128">
        <f>SUM(L141:L146)*1.2</f>
        <v>3275.0484000000001</v>
      </c>
      <c r="AE141" s="128">
        <f>AD141*AG141*AH141</f>
        <v>3647.5458549192003</v>
      </c>
      <c r="AF141" s="128">
        <f>AM141+AN141+AO141+AP141+AQ141+AR141</f>
        <v>3647.5458549192003</v>
      </c>
      <c r="AG141" s="124">
        <v>1.0740000000000001</v>
      </c>
      <c r="AH141" s="124">
        <v>1.0369999999999999</v>
      </c>
      <c r="AI141" s="121">
        <v>1.0389999999999999</v>
      </c>
      <c r="AJ141" s="121">
        <v>1.0509999999999999</v>
      </c>
      <c r="AK141" s="121">
        <v>1.0489999999999999</v>
      </c>
      <c r="AL141" s="121">
        <v>1.0469999999999999</v>
      </c>
      <c r="AM141" s="121">
        <v>0</v>
      </c>
      <c r="AN141" s="123">
        <f>AD141*AG141*AH141</f>
        <v>3647.5458549192003</v>
      </c>
      <c r="AO141" s="121">
        <v>0</v>
      </c>
      <c r="AP141" s="121">
        <v>0</v>
      </c>
      <c r="AQ141" s="121">
        <v>0</v>
      </c>
      <c r="AR141" s="121">
        <v>0</v>
      </c>
      <c r="AS141" s="122">
        <v>3275.0484000000001</v>
      </c>
      <c r="AT141" s="123">
        <v>4377.0550259030397</v>
      </c>
      <c r="AU141" s="121">
        <v>1.0740000000000001</v>
      </c>
      <c r="AV141" s="121">
        <v>1.0369999999999999</v>
      </c>
      <c r="AW141" s="124">
        <v>1.0389999999999999</v>
      </c>
      <c r="AX141" s="123">
        <v>0</v>
      </c>
      <c r="AY141" s="123">
        <v>4377.0550259030397</v>
      </c>
      <c r="AZ141" s="123">
        <v>0</v>
      </c>
      <c r="BA141" s="127">
        <f>AS9-O9</f>
        <v>0</v>
      </c>
    </row>
    <row r="142" spans="1:53" ht="104.25" customHeight="1" x14ac:dyDescent="0.25">
      <c r="A142" s="131"/>
      <c r="B142" s="133"/>
      <c r="C142" s="117"/>
      <c r="D142" s="89" t="s">
        <v>42</v>
      </c>
      <c r="E142" s="89" t="s">
        <v>34</v>
      </c>
      <c r="F142" s="89">
        <v>0.187</v>
      </c>
      <c r="G142" s="29" t="s">
        <v>43</v>
      </c>
      <c r="H142" s="87">
        <v>699</v>
      </c>
      <c r="I142" s="87">
        <f t="shared" si="46"/>
        <v>130.71299999999999</v>
      </c>
      <c r="J142" s="87" t="s">
        <v>55</v>
      </c>
      <c r="K142" s="30">
        <v>1.05</v>
      </c>
      <c r="L142" s="87">
        <f>I142*K142</f>
        <v>137.24865</v>
      </c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5"/>
      <c r="AH142" s="125"/>
      <c r="AI142" s="121"/>
      <c r="AJ142" s="121"/>
      <c r="AK142" s="121"/>
      <c r="AL142" s="121"/>
      <c r="AM142" s="121"/>
      <c r="AN142" s="123"/>
      <c r="AO142" s="121"/>
      <c r="AP142" s="121"/>
      <c r="AQ142" s="121"/>
      <c r="AR142" s="121"/>
      <c r="AS142" s="122"/>
      <c r="AT142" s="123"/>
      <c r="AU142" s="121"/>
      <c r="AV142" s="121"/>
      <c r="AW142" s="125"/>
      <c r="AX142" s="123"/>
      <c r="AY142" s="123"/>
      <c r="AZ142" s="123"/>
      <c r="BA142" s="127"/>
    </row>
    <row r="143" spans="1:53" ht="66" customHeight="1" x14ac:dyDescent="0.25">
      <c r="A143" s="131"/>
      <c r="B143" s="133"/>
      <c r="C143" s="117"/>
      <c r="D143" s="89" t="s">
        <v>44</v>
      </c>
      <c r="E143" s="89" t="s">
        <v>45</v>
      </c>
      <c r="F143" s="89">
        <v>11.61</v>
      </c>
      <c r="G143" s="29" t="s">
        <v>46</v>
      </c>
      <c r="H143" s="87">
        <v>17</v>
      </c>
      <c r="I143" s="87">
        <f t="shared" si="46"/>
        <v>197.37</v>
      </c>
      <c r="J143" s="87" t="s">
        <v>55</v>
      </c>
      <c r="K143" s="30">
        <v>1.05</v>
      </c>
      <c r="L143" s="87">
        <f>I143*K143</f>
        <v>207.23850000000002</v>
      </c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5"/>
      <c r="AH143" s="125"/>
      <c r="AI143" s="121"/>
      <c r="AJ143" s="121"/>
      <c r="AK143" s="121"/>
      <c r="AL143" s="121"/>
      <c r="AM143" s="121"/>
      <c r="AN143" s="123"/>
      <c r="AO143" s="121"/>
      <c r="AP143" s="121"/>
      <c r="AQ143" s="121"/>
      <c r="AR143" s="121"/>
      <c r="AS143" s="122"/>
      <c r="AT143" s="123"/>
      <c r="AU143" s="121"/>
      <c r="AV143" s="121"/>
      <c r="AW143" s="125"/>
      <c r="AX143" s="123"/>
      <c r="AY143" s="123"/>
      <c r="AZ143" s="123"/>
      <c r="BA143" s="127"/>
    </row>
    <row r="144" spans="1:53" ht="31.5" customHeight="1" x14ac:dyDescent="0.25">
      <c r="A144" s="131"/>
      <c r="B144" s="133"/>
      <c r="C144" s="117"/>
      <c r="D144" s="89" t="s">
        <v>57</v>
      </c>
      <c r="E144" s="89" t="s">
        <v>34</v>
      </c>
      <c r="F144" s="89">
        <v>0.58899999999999997</v>
      </c>
      <c r="G144" s="29" t="s">
        <v>58</v>
      </c>
      <c r="H144" s="87">
        <v>413</v>
      </c>
      <c r="I144" s="87">
        <f t="shared" si="46"/>
        <v>243.25699999999998</v>
      </c>
      <c r="J144" s="87" t="s">
        <v>55</v>
      </c>
      <c r="K144" s="30">
        <v>1.05</v>
      </c>
      <c r="L144" s="87">
        <f>I144*K144</f>
        <v>255.41985</v>
      </c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5"/>
      <c r="AH144" s="125"/>
      <c r="AI144" s="121"/>
      <c r="AJ144" s="121"/>
      <c r="AK144" s="121"/>
      <c r="AL144" s="121"/>
      <c r="AM144" s="121"/>
      <c r="AN144" s="123"/>
      <c r="AO144" s="121"/>
      <c r="AP144" s="121"/>
      <c r="AQ144" s="121"/>
      <c r="AR144" s="121"/>
      <c r="AS144" s="122"/>
      <c r="AT144" s="123"/>
      <c r="AU144" s="121"/>
      <c r="AV144" s="121"/>
      <c r="AW144" s="125"/>
      <c r="AX144" s="123"/>
      <c r="AY144" s="123"/>
      <c r="AZ144" s="123"/>
      <c r="BA144" s="127"/>
    </row>
    <row r="145" spans="1:53" ht="88.5" customHeight="1" x14ac:dyDescent="0.25">
      <c r="A145" s="131"/>
      <c r="B145" s="133"/>
      <c r="C145" s="117"/>
      <c r="D145" s="89" t="s">
        <v>48</v>
      </c>
      <c r="E145" s="89" t="s">
        <v>49</v>
      </c>
      <c r="F145" s="89"/>
      <c r="G145" s="29" t="s">
        <v>51</v>
      </c>
      <c r="H145" s="87">
        <v>187</v>
      </c>
      <c r="I145" s="87">
        <f t="shared" si="46"/>
        <v>0</v>
      </c>
      <c r="J145" s="87" t="s">
        <v>36</v>
      </c>
      <c r="K145" s="30" t="s">
        <v>36</v>
      </c>
      <c r="L145" s="87">
        <f>I145</f>
        <v>0</v>
      </c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5"/>
      <c r="AH145" s="125"/>
      <c r="AI145" s="121"/>
      <c r="AJ145" s="121"/>
      <c r="AK145" s="121"/>
      <c r="AL145" s="121"/>
      <c r="AM145" s="121"/>
      <c r="AN145" s="123"/>
      <c r="AO145" s="121"/>
      <c r="AP145" s="121"/>
      <c r="AQ145" s="121"/>
      <c r="AR145" s="121"/>
      <c r="AS145" s="122"/>
      <c r="AT145" s="123"/>
      <c r="AU145" s="121"/>
      <c r="AV145" s="121"/>
      <c r="AW145" s="125"/>
      <c r="AX145" s="123"/>
      <c r="AY145" s="123"/>
      <c r="AZ145" s="123"/>
      <c r="BA145" s="127"/>
    </row>
    <row r="146" spans="1:53" ht="30" x14ac:dyDescent="0.25">
      <c r="A146" s="131"/>
      <c r="B146" s="134"/>
      <c r="C146" s="109"/>
      <c r="D146" s="89" t="s">
        <v>40</v>
      </c>
      <c r="E146" s="89" t="s">
        <v>41</v>
      </c>
      <c r="F146" s="89">
        <v>1</v>
      </c>
      <c r="G146" s="29" t="s">
        <v>240</v>
      </c>
      <c r="H146" s="87">
        <v>300</v>
      </c>
      <c r="I146" s="87">
        <f t="shared" si="46"/>
        <v>300</v>
      </c>
      <c r="J146" s="87" t="s">
        <v>36</v>
      </c>
      <c r="K146" s="87" t="s">
        <v>36</v>
      </c>
      <c r="L146" s="87">
        <f>I146</f>
        <v>300</v>
      </c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26"/>
      <c r="AH146" s="126"/>
      <c r="AI146" s="121"/>
      <c r="AJ146" s="121"/>
      <c r="AK146" s="121"/>
      <c r="AL146" s="121"/>
      <c r="AM146" s="121"/>
      <c r="AN146" s="123"/>
      <c r="AO146" s="121"/>
      <c r="AP146" s="121"/>
      <c r="AQ146" s="121"/>
      <c r="AR146" s="121"/>
      <c r="AS146" s="122"/>
      <c r="AT146" s="123"/>
      <c r="AU146" s="121"/>
      <c r="AV146" s="121"/>
      <c r="AW146" s="126"/>
      <c r="AX146" s="123"/>
      <c r="AY146" s="123"/>
      <c r="AZ146" s="123"/>
      <c r="BA146" s="127"/>
    </row>
    <row r="147" spans="1:53" ht="15" customHeight="1" x14ac:dyDescent="0.25">
      <c r="A147" s="131">
        <v>33</v>
      </c>
      <c r="B147" s="210" t="s">
        <v>242</v>
      </c>
      <c r="C147" s="122">
        <v>10</v>
      </c>
      <c r="D147" s="89" t="s">
        <v>38</v>
      </c>
      <c r="E147" s="89" t="s">
        <v>37</v>
      </c>
      <c r="F147" s="89">
        <v>1</v>
      </c>
      <c r="G147" s="92" t="s">
        <v>39</v>
      </c>
      <c r="H147" s="87">
        <v>1663</v>
      </c>
      <c r="I147" s="87">
        <f>F147*H147</f>
        <v>1663</v>
      </c>
      <c r="J147" s="87" t="s">
        <v>54</v>
      </c>
      <c r="K147" s="30">
        <v>1.1000000000000001</v>
      </c>
      <c r="L147" s="87">
        <f>I147*K147</f>
        <v>1829.3000000000002</v>
      </c>
      <c r="M147" s="128">
        <v>11683.09</v>
      </c>
      <c r="N147" s="128">
        <v>2336.6179999999999</v>
      </c>
      <c r="O147" s="128">
        <v>14019.708000000001</v>
      </c>
      <c r="P147" s="128">
        <f>O147*R147*S147</f>
        <v>15990.710708304003</v>
      </c>
      <c r="Q147" s="128">
        <f>Z147</f>
        <v>16806.236954427506</v>
      </c>
      <c r="R147" s="124">
        <v>1.0740000000000001</v>
      </c>
      <c r="S147" s="124">
        <v>1.0620000000000001</v>
      </c>
      <c r="T147" s="124">
        <v>1.0509999999999999</v>
      </c>
      <c r="U147" s="124">
        <v>1.048</v>
      </c>
      <c r="V147" s="124">
        <v>1.0469999999999999</v>
      </c>
      <c r="W147" s="124">
        <v>1.0469999999999999</v>
      </c>
      <c r="X147" s="128">
        <v>0</v>
      </c>
      <c r="Y147" s="128">
        <v>0</v>
      </c>
      <c r="Z147" s="128">
        <f>P147*T147</f>
        <v>16806.236954427506</v>
      </c>
      <c r="AA147" s="128">
        <v>0</v>
      </c>
      <c r="AB147" s="128">
        <v>0</v>
      </c>
      <c r="AC147" s="128">
        <v>0</v>
      </c>
      <c r="AD147" s="128">
        <f>SUM(L147:L152)*1.2</f>
        <v>14019.708000000001</v>
      </c>
      <c r="AE147" s="128">
        <f>AD147*AG147*AH147*AI147</f>
        <v>16665.36193742746</v>
      </c>
      <c r="AF147" s="128">
        <f>AM147+AN147+AO147+AP147+AQ147+AR147</f>
        <v>16665.36193742746</v>
      </c>
      <c r="AG147" s="124">
        <v>1.0680000000000001</v>
      </c>
      <c r="AH147" s="124">
        <v>1.056</v>
      </c>
      <c r="AI147" s="121">
        <v>1.054</v>
      </c>
      <c r="AJ147" s="121">
        <v>1.0509999999999999</v>
      </c>
      <c r="AK147" s="121">
        <v>1.0489999999999999</v>
      </c>
      <c r="AL147" s="121">
        <v>1.0469999999999999</v>
      </c>
      <c r="AM147" s="121">
        <v>0</v>
      </c>
      <c r="AN147" s="123">
        <v>0</v>
      </c>
      <c r="AO147" s="123">
        <f>AD147*AG147*AH147*AI147</f>
        <v>16665.36193742746</v>
      </c>
      <c r="AP147" s="121">
        <v>0</v>
      </c>
      <c r="AQ147" s="121">
        <v>0</v>
      </c>
      <c r="AR147" s="121">
        <v>0</v>
      </c>
      <c r="AS147" s="122">
        <v>14019.708000000001</v>
      </c>
      <c r="AT147" s="123">
        <v>16223.238528895654</v>
      </c>
      <c r="AU147" s="121">
        <v>1.0740000000000001</v>
      </c>
      <c r="AV147" s="121">
        <v>1.0369999999999999</v>
      </c>
      <c r="AW147" s="124">
        <v>1.0389999999999999</v>
      </c>
      <c r="AX147" s="123">
        <v>0</v>
      </c>
      <c r="AY147" s="123">
        <v>0</v>
      </c>
      <c r="AZ147" s="123">
        <v>16223.238528895654</v>
      </c>
      <c r="BA147" s="127">
        <f>AS9-O9</f>
        <v>0</v>
      </c>
    </row>
    <row r="148" spans="1:53" ht="90" x14ac:dyDescent="0.25">
      <c r="A148" s="131"/>
      <c r="B148" s="210"/>
      <c r="C148" s="122"/>
      <c r="D148" s="89" t="s">
        <v>42</v>
      </c>
      <c r="E148" s="89" t="s">
        <v>34</v>
      </c>
      <c r="F148" s="89">
        <v>5.23</v>
      </c>
      <c r="G148" s="29" t="s">
        <v>43</v>
      </c>
      <c r="H148" s="87">
        <v>699</v>
      </c>
      <c r="I148" s="87">
        <f>F148*H148</f>
        <v>3655.7700000000004</v>
      </c>
      <c r="J148" s="87" t="s">
        <v>55</v>
      </c>
      <c r="K148" s="30">
        <v>1.05</v>
      </c>
      <c r="L148" s="87">
        <f t="shared" ref="L148:L150" si="47">I148*K148</f>
        <v>3838.5585000000005</v>
      </c>
      <c r="M148" s="129"/>
      <c r="N148" s="129"/>
      <c r="O148" s="129"/>
      <c r="P148" s="129"/>
      <c r="Q148" s="129"/>
      <c r="R148" s="125"/>
      <c r="S148" s="125"/>
      <c r="T148" s="125"/>
      <c r="U148" s="125"/>
      <c r="V148" s="125"/>
      <c r="W148" s="125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5"/>
      <c r="AH148" s="125"/>
      <c r="AI148" s="121"/>
      <c r="AJ148" s="121"/>
      <c r="AK148" s="121"/>
      <c r="AL148" s="121"/>
      <c r="AM148" s="121"/>
      <c r="AN148" s="123"/>
      <c r="AO148" s="123"/>
      <c r="AP148" s="121"/>
      <c r="AQ148" s="121"/>
      <c r="AR148" s="121"/>
      <c r="AS148" s="122"/>
      <c r="AT148" s="123"/>
      <c r="AU148" s="121"/>
      <c r="AV148" s="121"/>
      <c r="AW148" s="125"/>
      <c r="AX148" s="123"/>
      <c r="AY148" s="123"/>
      <c r="AZ148" s="123"/>
      <c r="BA148" s="127"/>
    </row>
    <row r="149" spans="1:53" ht="60" x14ac:dyDescent="0.25">
      <c r="A149" s="131"/>
      <c r="B149" s="210"/>
      <c r="C149" s="122"/>
      <c r="D149" s="89" t="s">
        <v>44</v>
      </c>
      <c r="E149" s="89" t="s">
        <v>45</v>
      </c>
      <c r="F149" s="89">
        <v>170.12</v>
      </c>
      <c r="G149" s="29" t="s">
        <v>46</v>
      </c>
      <c r="H149" s="87">
        <v>17</v>
      </c>
      <c r="I149" s="87">
        <f t="shared" ref="I149:I164" si="48">F149*H149</f>
        <v>2892.04</v>
      </c>
      <c r="J149" s="87" t="s">
        <v>55</v>
      </c>
      <c r="K149" s="30">
        <v>1.05</v>
      </c>
      <c r="L149" s="87">
        <f t="shared" si="47"/>
        <v>3036.6420000000003</v>
      </c>
      <c r="M149" s="129"/>
      <c r="N149" s="129"/>
      <c r="O149" s="129"/>
      <c r="P149" s="129"/>
      <c r="Q149" s="129"/>
      <c r="R149" s="125"/>
      <c r="S149" s="125"/>
      <c r="T149" s="125"/>
      <c r="U149" s="125"/>
      <c r="V149" s="125"/>
      <c r="W149" s="125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5"/>
      <c r="AH149" s="125"/>
      <c r="AI149" s="121"/>
      <c r="AJ149" s="121"/>
      <c r="AK149" s="121"/>
      <c r="AL149" s="121"/>
      <c r="AM149" s="121"/>
      <c r="AN149" s="123"/>
      <c r="AO149" s="123"/>
      <c r="AP149" s="121"/>
      <c r="AQ149" s="121"/>
      <c r="AR149" s="121"/>
      <c r="AS149" s="122"/>
      <c r="AT149" s="123"/>
      <c r="AU149" s="121"/>
      <c r="AV149" s="121"/>
      <c r="AW149" s="125"/>
      <c r="AX149" s="123"/>
      <c r="AY149" s="123"/>
      <c r="AZ149" s="123"/>
      <c r="BA149" s="127"/>
    </row>
    <row r="150" spans="1:53" ht="75" x14ac:dyDescent="0.25">
      <c r="A150" s="131"/>
      <c r="B150" s="210"/>
      <c r="C150" s="122"/>
      <c r="D150" s="89" t="s">
        <v>57</v>
      </c>
      <c r="E150" s="89" t="s">
        <v>34</v>
      </c>
      <c r="F150" s="89">
        <v>5.23</v>
      </c>
      <c r="G150" s="29" t="s">
        <v>58</v>
      </c>
      <c r="H150" s="87">
        <v>413</v>
      </c>
      <c r="I150" s="87">
        <f t="shared" si="48"/>
        <v>2159.9900000000002</v>
      </c>
      <c r="J150" s="87" t="s">
        <v>55</v>
      </c>
      <c r="K150" s="30">
        <v>1.05</v>
      </c>
      <c r="L150" s="87">
        <f t="shared" si="47"/>
        <v>2267.9895000000001</v>
      </c>
      <c r="M150" s="129"/>
      <c r="N150" s="129"/>
      <c r="O150" s="129"/>
      <c r="P150" s="129"/>
      <c r="Q150" s="129"/>
      <c r="R150" s="125"/>
      <c r="S150" s="125"/>
      <c r="T150" s="125"/>
      <c r="U150" s="125"/>
      <c r="V150" s="125"/>
      <c r="W150" s="125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5"/>
      <c r="AH150" s="125"/>
      <c r="AI150" s="121"/>
      <c r="AJ150" s="121"/>
      <c r="AK150" s="121"/>
      <c r="AL150" s="121"/>
      <c r="AM150" s="121"/>
      <c r="AN150" s="123"/>
      <c r="AO150" s="123"/>
      <c r="AP150" s="121"/>
      <c r="AQ150" s="121"/>
      <c r="AR150" s="121"/>
      <c r="AS150" s="122"/>
      <c r="AT150" s="123"/>
      <c r="AU150" s="121"/>
      <c r="AV150" s="121"/>
      <c r="AW150" s="125"/>
      <c r="AX150" s="123"/>
      <c r="AY150" s="123"/>
      <c r="AZ150" s="123"/>
      <c r="BA150" s="127"/>
    </row>
    <row r="151" spans="1:53" ht="75" x14ac:dyDescent="0.25">
      <c r="A151" s="131"/>
      <c r="B151" s="210"/>
      <c r="C151" s="122"/>
      <c r="D151" s="89" t="s">
        <v>48</v>
      </c>
      <c r="E151" s="89" t="s">
        <v>49</v>
      </c>
      <c r="F151" s="89">
        <v>0.8</v>
      </c>
      <c r="G151" s="29" t="s">
        <v>51</v>
      </c>
      <c r="H151" s="87">
        <v>187</v>
      </c>
      <c r="I151" s="87">
        <f t="shared" si="48"/>
        <v>149.6</v>
      </c>
      <c r="J151" s="87" t="s">
        <v>36</v>
      </c>
      <c r="K151" s="30" t="s">
        <v>36</v>
      </c>
      <c r="L151" s="87">
        <f>I151</f>
        <v>149.6</v>
      </c>
      <c r="M151" s="129"/>
      <c r="N151" s="129"/>
      <c r="O151" s="129"/>
      <c r="P151" s="129"/>
      <c r="Q151" s="129"/>
      <c r="R151" s="125"/>
      <c r="S151" s="125"/>
      <c r="T151" s="125"/>
      <c r="U151" s="125"/>
      <c r="V151" s="125"/>
      <c r="W151" s="125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5"/>
      <c r="AH151" s="125"/>
      <c r="AI151" s="121"/>
      <c r="AJ151" s="121"/>
      <c r="AK151" s="121"/>
      <c r="AL151" s="121"/>
      <c r="AM151" s="121"/>
      <c r="AN151" s="123"/>
      <c r="AO151" s="123"/>
      <c r="AP151" s="121"/>
      <c r="AQ151" s="121"/>
      <c r="AR151" s="121"/>
      <c r="AS151" s="122"/>
      <c r="AT151" s="123"/>
      <c r="AU151" s="121"/>
      <c r="AV151" s="121"/>
      <c r="AW151" s="125"/>
      <c r="AX151" s="123"/>
      <c r="AY151" s="123"/>
      <c r="AZ151" s="123"/>
      <c r="BA151" s="127"/>
    </row>
    <row r="152" spans="1:53" ht="30" x14ac:dyDescent="0.25">
      <c r="A152" s="131"/>
      <c r="B152" s="210"/>
      <c r="C152" s="122"/>
      <c r="D152" s="89" t="s">
        <v>20</v>
      </c>
      <c r="E152" s="89" t="s">
        <v>215</v>
      </c>
      <c r="F152" s="89">
        <v>1</v>
      </c>
      <c r="G152" s="29" t="s">
        <v>243</v>
      </c>
      <c r="H152" s="87">
        <v>561</v>
      </c>
      <c r="I152" s="87">
        <f t="shared" si="48"/>
        <v>561</v>
      </c>
      <c r="J152" s="87" t="s">
        <v>36</v>
      </c>
      <c r="K152" s="87" t="s">
        <v>36</v>
      </c>
      <c r="L152" s="87">
        <f>I152</f>
        <v>561</v>
      </c>
      <c r="M152" s="130"/>
      <c r="N152" s="130"/>
      <c r="O152" s="130"/>
      <c r="P152" s="130"/>
      <c r="Q152" s="130"/>
      <c r="R152" s="126"/>
      <c r="S152" s="126"/>
      <c r="T152" s="126"/>
      <c r="U152" s="126"/>
      <c r="V152" s="126"/>
      <c r="W152" s="126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26"/>
      <c r="AH152" s="126"/>
      <c r="AI152" s="121"/>
      <c r="AJ152" s="121"/>
      <c r="AK152" s="121"/>
      <c r="AL152" s="121"/>
      <c r="AM152" s="121"/>
      <c r="AN152" s="123"/>
      <c r="AO152" s="123"/>
      <c r="AP152" s="121"/>
      <c r="AQ152" s="121"/>
      <c r="AR152" s="121"/>
      <c r="AS152" s="122"/>
      <c r="AT152" s="123"/>
      <c r="AU152" s="121"/>
      <c r="AV152" s="121"/>
      <c r="AW152" s="126"/>
      <c r="AX152" s="123"/>
      <c r="AY152" s="123"/>
      <c r="AZ152" s="123"/>
      <c r="BA152" s="127"/>
    </row>
    <row r="153" spans="1:53" ht="15" customHeight="1" x14ac:dyDescent="0.25">
      <c r="A153" s="131">
        <v>34</v>
      </c>
      <c r="B153" s="212" t="s">
        <v>270</v>
      </c>
      <c r="C153" s="122">
        <v>6</v>
      </c>
      <c r="D153" s="89" t="s">
        <v>38</v>
      </c>
      <c r="E153" s="89" t="s">
        <v>37</v>
      </c>
      <c r="F153" s="89">
        <v>0</v>
      </c>
      <c r="G153" s="92" t="s">
        <v>39</v>
      </c>
      <c r="H153" s="87">
        <v>1663</v>
      </c>
      <c r="I153" s="87">
        <f t="shared" si="48"/>
        <v>0</v>
      </c>
      <c r="J153" s="87" t="s">
        <v>54</v>
      </c>
      <c r="K153" s="30">
        <v>1.1000000000000001</v>
      </c>
      <c r="L153" s="87">
        <f>I153*K153</f>
        <v>0</v>
      </c>
      <c r="M153" s="128">
        <v>31236</v>
      </c>
      <c r="N153" s="128">
        <f>M153*0.2</f>
        <v>6247.2000000000007</v>
      </c>
      <c r="O153" s="128">
        <v>37482.794400000006</v>
      </c>
      <c r="P153" s="215">
        <f>O153*R153*S153*T153</f>
        <v>43374.10695577642</v>
      </c>
      <c r="Q153" s="128">
        <v>43374.10695577642</v>
      </c>
      <c r="R153" s="124">
        <v>1.0740000000000001</v>
      </c>
      <c r="S153" s="124">
        <v>1.0369999999999999</v>
      </c>
      <c r="T153" s="124">
        <v>1.0389999999999999</v>
      </c>
      <c r="U153" s="124">
        <v>1.042</v>
      </c>
      <c r="V153" s="124">
        <v>1.0429999999999999</v>
      </c>
      <c r="W153" s="124">
        <v>1.0429999999999999</v>
      </c>
      <c r="X153" s="128">
        <v>0</v>
      </c>
      <c r="Y153" s="128">
        <v>0</v>
      </c>
      <c r="Z153" s="128">
        <v>43374.10695577642</v>
      </c>
      <c r="AA153" s="128">
        <v>0</v>
      </c>
      <c r="AB153" s="128">
        <v>0</v>
      </c>
      <c r="AC153" s="128">
        <v>0</v>
      </c>
      <c r="AD153" s="128">
        <f>SUM(L153:L158)*1.2</f>
        <v>37482.794400000006</v>
      </c>
      <c r="AE153" s="128">
        <f>AD153*AG153*AH153*AI153</f>
        <v>42199.929709375923</v>
      </c>
      <c r="AF153" s="128">
        <f>AM153+AN153+AO153+AP153+AQ153+AR153</f>
        <v>44014.526686879086</v>
      </c>
      <c r="AG153" s="124">
        <v>1.032</v>
      </c>
      <c r="AH153" s="124">
        <v>1.038</v>
      </c>
      <c r="AI153" s="121">
        <v>1.0509999999999999</v>
      </c>
      <c r="AJ153" s="121">
        <v>1.0429999999999999</v>
      </c>
      <c r="AK153" s="121">
        <v>1.042</v>
      </c>
      <c r="AL153" s="121">
        <v>1.0409999999999999</v>
      </c>
      <c r="AM153" s="121">
        <v>0</v>
      </c>
      <c r="AN153" s="123">
        <v>0</v>
      </c>
      <c r="AO153" s="123">
        <v>0</v>
      </c>
      <c r="AP153" s="123">
        <f>AD153*AG153*AH153*AI153*AJ153</f>
        <v>44014.526686879086</v>
      </c>
      <c r="AQ153" s="121">
        <v>0</v>
      </c>
      <c r="AR153" s="121">
        <v>0</v>
      </c>
      <c r="AS153" s="131" t="s">
        <v>183</v>
      </c>
      <c r="AT153" s="123" t="s">
        <v>183</v>
      </c>
      <c r="AU153" s="121" t="s">
        <v>183</v>
      </c>
      <c r="AV153" s="121" t="s">
        <v>183</v>
      </c>
      <c r="AW153" s="124" t="s">
        <v>183</v>
      </c>
      <c r="AX153" s="123" t="s">
        <v>183</v>
      </c>
      <c r="AY153" s="123" t="s">
        <v>183</v>
      </c>
      <c r="AZ153" s="123" t="s">
        <v>183</v>
      </c>
      <c r="BA153" s="127">
        <f>AS9-O9</f>
        <v>0</v>
      </c>
    </row>
    <row r="154" spans="1:53" ht="90" x14ac:dyDescent="0.25">
      <c r="A154" s="131"/>
      <c r="B154" s="213"/>
      <c r="C154" s="122"/>
      <c r="D154" s="89" t="s">
        <v>42</v>
      </c>
      <c r="E154" s="89" t="s">
        <v>34</v>
      </c>
      <c r="F154" s="89">
        <v>9.1999999999999993</v>
      </c>
      <c r="G154" s="29" t="s">
        <v>43</v>
      </c>
      <c r="H154" s="87">
        <v>699</v>
      </c>
      <c r="I154" s="87">
        <f t="shared" si="48"/>
        <v>6430.7999999999993</v>
      </c>
      <c r="J154" s="87" t="s">
        <v>55</v>
      </c>
      <c r="K154" s="30">
        <v>1.05</v>
      </c>
      <c r="L154" s="87">
        <f>I154*K154</f>
        <v>6752.3399999999992</v>
      </c>
      <c r="M154" s="129"/>
      <c r="N154" s="129"/>
      <c r="O154" s="129"/>
      <c r="P154" s="216"/>
      <c r="Q154" s="129"/>
      <c r="R154" s="125"/>
      <c r="S154" s="125"/>
      <c r="T154" s="125"/>
      <c r="U154" s="125"/>
      <c r="V154" s="125"/>
      <c r="W154" s="125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5"/>
      <c r="AH154" s="125"/>
      <c r="AI154" s="121"/>
      <c r="AJ154" s="121"/>
      <c r="AK154" s="121"/>
      <c r="AL154" s="121"/>
      <c r="AM154" s="121"/>
      <c r="AN154" s="123"/>
      <c r="AO154" s="123"/>
      <c r="AP154" s="123"/>
      <c r="AQ154" s="121"/>
      <c r="AR154" s="121"/>
      <c r="AS154" s="131"/>
      <c r="AT154" s="123"/>
      <c r="AU154" s="121"/>
      <c r="AV154" s="121"/>
      <c r="AW154" s="125"/>
      <c r="AX154" s="123"/>
      <c r="AY154" s="123"/>
      <c r="AZ154" s="123"/>
      <c r="BA154" s="127"/>
    </row>
    <row r="155" spans="1:53" ht="60" x14ac:dyDescent="0.25">
      <c r="A155" s="131"/>
      <c r="B155" s="213"/>
      <c r="C155" s="122"/>
      <c r="D155" s="89" t="s">
        <v>44</v>
      </c>
      <c r="E155" s="89" t="s">
        <v>45</v>
      </c>
      <c r="F155" s="89">
        <v>207.92</v>
      </c>
      <c r="G155" s="29" t="s">
        <v>46</v>
      </c>
      <c r="H155" s="87">
        <v>17</v>
      </c>
      <c r="I155" s="87">
        <f t="shared" si="48"/>
        <v>3534.64</v>
      </c>
      <c r="J155" s="87" t="s">
        <v>55</v>
      </c>
      <c r="K155" s="30">
        <v>1.05</v>
      </c>
      <c r="L155" s="87">
        <f>I155*K155</f>
        <v>3711.3719999999998</v>
      </c>
      <c r="M155" s="129"/>
      <c r="N155" s="129"/>
      <c r="O155" s="129"/>
      <c r="P155" s="216"/>
      <c r="Q155" s="129"/>
      <c r="R155" s="125"/>
      <c r="S155" s="125"/>
      <c r="T155" s="125"/>
      <c r="U155" s="125"/>
      <c r="V155" s="125"/>
      <c r="W155" s="125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5"/>
      <c r="AH155" s="125"/>
      <c r="AI155" s="121"/>
      <c r="AJ155" s="121"/>
      <c r="AK155" s="121"/>
      <c r="AL155" s="121"/>
      <c r="AM155" s="121"/>
      <c r="AN155" s="123"/>
      <c r="AO155" s="123"/>
      <c r="AP155" s="123"/>
      <c r="AQ155" s="121"/>
      <c r="AR155" s="121"/>
      <c r="AS155" s="131"/>
      <c r="AT155" s="123"/>
      <c r="AU155" s="121"/>
      <c r="AV155" s="121"/>
      <c r="AW155" s="125"/>
      <c r="AX155" s="123"/>
      <c r="AY155" s="123"/>
      <c r="AZ155" s="123"/>
      <c r="BA155" s="127"/>
    </row>
    <row r="156" spans="1:53" ht="75" x14ac:dyDescent="0.25">
      <c r="A156" s="131"/>
      <c r="B156" s="213"/>
      <c r="C156" s="122"/>
      <c r="D156" s="89" t="s">
        <v>47</v>
      </c>
      <c r="E156" s="89" t="s">
        <v>34</v>
      </c>
      <c r="F156" s="89">
        <v>27.6</v>
      </c>
      <c r="G156" s="29" t="s">
        <v>244</v>
      </c>
      <c r="H156" s="87">
        <v>449</v>
      </c>
      <c r="I156" s="87">
        <f t="shared" si="48"/>
        <v>12392.400000000001</v>
      </c>
      <c r="J156" s="87" t="s">
        <v>55</v>
      </c>
      <c r="K156" s="30">
        <v>1.05</v>
      </c>
      <c r="L156" s="87">
        <f>I156*K156</f>
        <v>13012.020000000002</v>
      </c>
      <c r="M156" s="129"/>
      <c r="N156" s="129"/>
      <c r="O156" s="129"/>
      <c r="P156" s="216"/>
      <c r="Q156" s="129"/>
      <c r="R156" s="125"/>
      <c r="S156" s="125"/>
      <c r="T156" s="125"/>
      <c r="U156" s="125"/>
      <c r="V156" s="125"/>
      <c r="W156" s="125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5"/>
      <c r="AH156" s="125"/>
      <c r="AI156" s="121"/>
      <c r="AJ156" s="121"/>
      <c r="AK156" s="121"/>
      <c r="AL156" s="121"/>
      <c r="AM156" s="121"/>
      <c r="AN156" s="123"/>
      <c r="AO156" s="123"/>
      <c r="AP156" s="123"/>
      <c r="AQ156" s="121"/>
      <c r="AR156" s="121"/>
      <c r="AS156" s="131"/>
      <c r="AT156" s="123"/>
      <c r="AU156" s="121"/>
      <c r="AV156" s="121"/>
      <c r="AW156" s="125"/>
      <c r="AX156" s="123"/>
      <c r="AY156" s="123"/>
      <c r="AZ156" s="123"/>
      <c r="BA156" s="127"/>
    </row>
    <row r="157" spans="1:53" ht="75" x14ac:dyDescent="0.25">
      <c r="A157" s="131"/>
      <c r="B157" s="213"/>
      <c r="C157" s="122"/>
      <c r="D157" s="89" t="s">
        <v>48</v>
      </c>
      <c r="E157" s="89" t="s">
        <v>49</v>
      </c>
      <c r="F157" s="89">
        <v>1.39</v>
      </c>
      <c r="G157" s="29" t="s">
        <v>51</v>
      </c>
      <c r="H157" s="87">
        <v>187</v>
      </c>
      <c r="I157" s="87">
        <f t="shared" si="48"/>
        <v>259.93</v>
      </c>
      <c r="J157" s="87" t="s">
        <v>36</v>
      </c>
      <c r="K157" s="30" t="s">
        <v>36</v>
      </c>
      <c r="L157" s="87">
        <f>I157</f>
        <v>259.93</v>
      </c>
      <c r="M157" s="129"/>
      <c r="N157" s="129"/>
      <c r="O157" s="129"/>
      <c r="P157" s="216"/>
      <c r="Q157" s="129"/>
      <c r="R157" s="125"/>
      <c r="S157" s="125"/>
      <c r="T157" s="125"/>
      <c r="U157" s="125"/>
      <c r="V157" s="125"/>
      <c r="W157" s="125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5"/>
      <c r="AH157" s="125"/>
      <c r="AI157" s="121"/>
      <c r="AJ157" s="121"/>
      <c r="AK157" s="121"/>
      <c r="AL157" s="121"/>
      <c r="AM157" s="121"/>
      <c r="AN157" s="123"/>
      <c r="AO157" s="123"/>
      <c r="AP157" s="123"/>
      <c r="AQ157" s="121"/>
      <c r="AR157" s="121"/>
      <c r="AS157" s="131"/>
      <c r="AT157" s="123"/>
      <c r="AU157" s="121"/>
      <c r="AV157" s="121"/>
      <c r="AW157" s="125"/>
      <c r="AX157" s="123"/>
      <c r="AY157" s="123"/>
      <c r="AZ157" s="123"/>
      <c r="BA157" s="127"/>
    </row>
    <row r="158" spans="1:53" ht="30" x14ac:dyDescent="0.25">
      <c r="A158" s="131"/>
      <c r="B158" s="214"/>
      <c r="C158" s="122"/>
      <c r="D158" s="89" t="s">
        <v>105</v>
      </c>
      <c r="E158" s="89" t="s">
        <v>41</v>
      </c>
      <c r="F158" s="89">
        <v>1</v>
      </c>
      <c r="G158" s="29" t="s">
        <v>186</v>
      </c>
      <c r="H158" s="87">
        <v>7500</v>
      </c>
      <c r="I158" s="87">
        <f t="shared" si="48"/>
        <v>7500</v>
      </c>
      <c r="J158" s="87" t="s">
        <v>36</v>
      </c>
      <c r="K158" s="87" t="s">
        <v>36</v>
      </c>
      <c r="L158" s="87">
        <f>I158</f>
        <v>7500</v>
      </c>
      <c r="M158" s="130"/>
      <c r="N158" s="130"/>
      <c r="O158" s="130"/>
      <c r="P158" s="217"/>
      <c r="Q158" s="130"/>
      <c r="R158" s="126"/>
      <c r="S158" s="126"/>
      <c r="T158" s="126"/>
      <c r="U158" s="126"/>
      <c r="V158" s="126"/>
      <c r="W158" s="126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26"/>
      <c r="AH158" s="126"/>
      <c r="AI158" s="121"/>
      <c r="AJ158" s="121"/>
      <c r="AK158" s="121"/>
      <c r="AL158" s="121"/>
      <c r="AM158" s="121"/>
      <c r="AN158" s="123"/>
      <c r="AO158" s="123"/>
      <c r="AP158" s="123"/>
      <c r="AQ158" s="121"/>
      <c r="AR158" s="121"/>
      <c r="AS158" s="131"/>
      <c r="AT158" s="123"/>
      <c r="AU158" s="121"/>
      <c r="AV158" s="121"/>
      <c r="AW158" s="126"/>
      <c r="AX158" s="123"/>
      <c r="AY158" s="123"/>
      <c r="AZ158" s="123"/>
      <c r="BA158" s="127"/>
    </row>
    <row r="159" spans="1:53" ht="15" customHeight="1" x14ac:dyDescent="0.25">
      <c r="A159" s="131">
        <v>35</v>
      </c>
      <c r="B159" s="210" t="s">
        <v>271</v>
      </c>
      <c r="C159" s="122">
        <v>6</v>
      </c>
      <c r="D159" s="89" t="s">
        <v>63</v>
      </c>
      <c r="E159" s="89" t="s">
        <v>37</v>
      </c>
      <c r="F159" s="89">
        <v>1</v>
      </c>
      <c r="G159" s="92" t="s">
        <v>245</v>
      </c>
      <c r="H159" s="87">
        <v>928</v>
      </c>
      <c r="I159" s="87">
        <f t="shared" si="48"/>
        <v>928</v>
      </c>
      <c r="J159" s="87" t="s">
        <v>59</v>
      </c>
      <c r="K159" s="30">
        <v>1.03</v>
      </c>
      <c r="L159" s="87">
        <f>I159*K159</f>
        <v>955.84</v>
      </c>
      <c r="M159" s="128">
        <f>SUM(L159:L164)</f>
        <v>4236.5645999999997</v>
      </c>
      <c r="N159" s="128">
        <f>M159*0.2</f>
        <v>847.31291999999996</v>
      </c>
      <c r="O159" s="128">
        <v>5083.8775199999991</v>
      </c>
      <c r="P159" s="203">
        <f>O159*R159*S159*T159</f>
        <v>5882.9297770431795</v>
      </c>
      <c r="Q159" s="128">
        <v>5882.9297770431795</v>
      </c>
      <c r="R159" s="124">
        <v>1.0740000000000001</v>
      </c>
      <c r="S159" s="124">
        <v>1.0369999999999999</v>
      </c>
      <c r="T159" s="124">
        <v>1.0389999999999999</v>
      </c>
      <c r="U159" s="124">
        <v>1.042</v>
      </c>
      <c r="V159" s="124">
        <v>1.0429999999999999</v>
      </c>
      <c r="W159" s="124">
        <v>1.0429999999999999</v>
      </c>
      <c r="X159" s="128">
        <v>0</v>
      </c>
      <c r="Y159" s="128">
        <v>0</v>
      </c>
      <c r="Z159" s="128">
        <v>5882.9297770431795</v>
      </c>
      <c r="AA159" s="128">
        <v>0</v>
      </c>
      <c r="AB159" s="128">
        <v>0</v>
      </c>
      <c r="AC159" s="128">
        <v>0</v>
      </c>
      <c r="AD159" s="128">
        <f>SUM(L159:L164)*1.2</f>
        <v>5083.8775199999991</v>
      </c>
      <c r="AE159" s="128">
        <f>AD159*AG159*AH159*AI159</f>
        <v>5723.6734194789997</v>
      </c>
      <c r="AF159" s="128">
        <f>AM159+AN159+AO159+AP159+AQ159+AR159</f>
        <v>5723.6734194789997</v>
      </c>
      <c r="AG159" s="124">
        <v>1.032</v>
      </c>
      <c r="AH159" s="124">
        <v>1.038</v>
      </c>
      <c r="AI159" s="121">
        <v>1.0509999999999999</v>
      </c>
      <c r="AJ159" s="121">
        <v>1.0429999999999999</v>
      </c>
      <c r="AK159" s="121">
        <v>1.042</v>
      </c>
      <c r="AL159" s="121">
        <v>1.0409999999999999</v>
      </c>
      <c r="AM159" s="121">
        <v>0</v>
      </c>
      <c r="AN159" s="123">
        <v>0</v>
      </c>
      <c r="AO159" s="123">
        <f>AD159*AG159*AH159*AI159</f>
        <v>5723.6734194789997</v>
      </c>
      <c r="AP159" s="121">
        <v>0</v>
      </c>
      <c r="AQ159" s="121">
        <v>0</v>
      </c>
      <c r="AR159" s="121">
        <v>0</v>
      </c>
      <c r="AS159" s="122">
        <v>5083.8775199999991</v>
      </c>
      <c r="AT159" s="122">
        <v>3938.0266937819997</v>
      </c>
      <c r="AU159" s="131">
        <v>1.0740000000000001</v>
      </c>
      <c r="AV159" s="131">
        <v>1.0369999999999999</v>
      </c>
      <c r="AW159" s="102">
        <v>1.0389999999999999</v>
      </c>
      <c r="AX159" s="131">
        <v>0</v>
      </c>
      <c r="AY159" s="131">
        <v>0</v>
      </c>
      <c r="AZ159" s="122">
        <v>3938.0266937819997</v>
      </c>
      <c r="BA159" s="127">
        <f>AS9-O9</f>
        <v>0</v>
      </c>
    </row>
    <row r="160" spans="1:53" ht="90" x14ac:dyDescent="0.25">
      <c r="A160" s="131"/>
      <c r="B160" s="210"/>
      <c r="C160" s="122"/>
      <c r="D160" s="89" t="s">
        <v>42</v>
      </c>
      <c r="E160" s="89" t="s">
        <v>34</v>
      </c>
      <c r="F160" s="89">
        <v>0.77600000000000002</v>
      </c>
      <c r="G160" s="29" t="s">
        <v>43</v>
      </c>
      <c r="H160" s="87">
        <v>699</v>
      </c>
      <c r="I160" s="87">
        <f t="shared" si="48"/>
        <v>542.42399999999998</v>
      </c>
      <c r="J160" s="87" t="s">
        <v>55</v>
      </c>
      <c r="K160" s="30">
        <v>1.05</v>
      </c>
      <c r="L160" s="87">
        <f>I160*K160</f>
        <v>569.54520000000002</v>
      </c>
      <c r="M160" s="129"/>
      <c r="N160" s="129"/>
      <c r="O160" s="129"/>
      <c r="P160" s="211"/>
      <c r="Q160" s="129"/>
      <c r="R160" s="125"/>
      <c r="S160" s="125"/>
      <c r="T160" s="125"/>
      <c r="U160" s="125"/>
      <c r="V160" s="125"/>
      <c r="W160" s="125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5"/>
      <c r="AH160" s="125"/>
      <c r="AI160" s="121"/>
      <c r="AJ160" s="121"/>
      <c r="AK160" s="121"/>
      <c r="AL160" s="121"/>
      <c r="AM160" s="121"/>
      <c r="AN160" s="123"/>
      <c r="AO160" s="123"/>
      <c r="AP160" s="121"/>
      <c r="AQ160" s="121"/>
      <c r="AR160" s="121"/>
      <c r="AS160" s="122"/>
      <c r="AT160" s="122"/>
      <c r="AU160" s="131"/>
      <c r="AV160" s="131"/>
      <c r="AW160" s="114"/>
      <c r="AX160" s="131"/>
      <c r="AY160" s="131"/>
      <c r="AZ160" s="122"/>
      <c r="BA160" s="127"/>
    </row>
    <row r="161" spans="1:58" ht="60" x14ac:dyDescent="0.25">
      <c r="A161" s="131"/>
      <c r="B161" s="210"/>
      <c r="C161" s="122"/>
      <c r="D161" s="89" t="s">
        <v>44</v>
      </c>
      <c r="E161" s="89" t="s">
        <v>45</v>
      </c>
      <c r="F161" s="89">
        <v>18.079999999999998</v>
      </c>
      <c r="G161" s="29" t="s">
        <v>46</v>
      </c>
      <c r="H161" s="87">
        <v>17</v>
      </c>
      <c r="I161" s="87">
        <f t="shared" si="48"/>
        <v>307.35999999999996</v>
      </c>
      <c r="J161" s="87" t="s">
        <v>55</v>
      </c>
      <c r="K161" s="30">
        <v>1.05</v>
      </c>
      <c r="L161" s="87">
        <f>I161*K161</f>
        <v>322.72799999999995</v>
      </c>
      <c r="M161" s="129"/>
      <c r="N161" s="129"/>
      <c r="O161" s="129"/>
      <c r="P161" s="211"/>
      <c r="Q161" s="129"/>
      <c r="R161" s="125"/>
      <c r="S161" s="125"/>
      <c r="T161" s="125"/>
      <c r="U161" s="125"/>
      <c r="V161" s="125"/>
      <c r="W161" s="125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5"/>
      <c r="AH161" s="125"/>
      <c r="AI161" s="121"/>
      <c r="AJ161" s="121"/>
      <c r="AK161" s="121"/>
      <c r="AL161" s="121"/>
      <c r="AM161" s="121"/>
      <c r="AN161" s="123"/>
      <c r="AO161" s="123"/>
      <c r="AP161" s="121"/>
      <c r="AQ161" s="121"/>
      <c r="AR161" s="121"/>
      <c r="AS161" s="122"/>
      <c r="AT161" s="122"/>
      <c r="AU161" s="131"/>
      <c r="AV161" s="131"/>
      <c r="AW161" s="114"/>
      <c r="AX161" s="131"/>
      <c r="AY161" s="131"/>
      <c r="AZ161" s="122"/>
      <c r="BA161" s="127"/>
    </row>
    <row r="162" spans="1:58" ht="75" x14ac:dyDescent="0.25">
      <c r="A162" s="131"/>
      <c r="B162" s="210"/>
      <c r="C162" s="122"/>
      <c r="D162" s="89" t="s">
        <v>57</v>
      </c>
      <c r="E162" s="89" t="s">
        <v>34</v>
      </c>
      <c r="F162" s="89">
        <v>4.6559999999999997</v>
      </c>
      <c r="G162" s="29" t="s">
        <v>58</v>
      </c>
      <c r="H162" s="87">
        <v>413</v>
      </c>
      <c r="I162" s="87">
        <f t="shared" si="48"/>
        <v>1922.9279999999999</v>
      </c>
      <c r="J162" s="87" t="s">
        <v>55</v>
      </c>
      <c r="K162" s="30">
        <v>1.05</v>
      </c>
      <c r="L162" s="87">
        <f>I162*K162</f>
        <v>2019.0744</v>
      </c>
      <c r="M162" s="129"/>
      <c r="N162" s="129"/>
      <c r="O162" s="129"/>
      <c r="P162" s="211"/>
      <c r="Q162" s="129"/>
      <c r="R162" s="125"/>
      <c r="S162" s="125"/>
      <c r="T162" s="125"/>
      <c r="U162" s="125"/>
      <c r="V162" s="125"/>
      <c r="W162" s="125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5"/>
      <c r="AH162" s="125"/>
      <c r="AI162" s="121"/>
      <c r="AJ162" s="121"/>
      <c r="AK162" s="121"/>
      <c r="AL162" s="121"/>
      <c r="AM162" s="121"/>
      <c r="AN162" s="123"/>
      <c r="AO162" s="123"/>
      <c r="AP162" s="121"/>
      <c r="AQ162" s="121"/>
      <c r="AR162" s="121"/>
      <c r="AS162" s="122"/>
      <c r="AT162" s="122"/>
      <c r="AU162" s="131"/>
      <c r="AV162" s="131"/>
      <c r="AW162" s="114"/>
      <c r="AX162" s="131"/>
      <c r="AY162" s="131"/>
      <c r="AZ162" s="122"/>
      <c r="BA162" s="127"/>
    </row>
    <row r="163" spans="1:58" ht="75" x14ac:dyDescent="0.25">
      <c r="A163" s="131"/>
      <c r="B163" s="210"/>
      <c r="C163" s="122"/>
      <c r="D163" s="89" t="s">
        <v>48</v>
      </c>
      <c r="E163" s="89" t="s">
        <v>49</v>
      </c>
      <c r="F163" s="89">
        <v>0.371</v>
      </c>
      <c r="G163" s="29" t="s">
        <v>51</v>
      </c>
      <c r="H163" s="87">
        <v>187</v>
      </c>
      <c r="I163" s="87">
        <f t="shared" si="48"/>
        <v>69.376999999999995</v>
      </c>
      <c r="J163" s="87" t="s">
        <v>36</v>
      </c>
      <c r="K163" s="30" t="s">
        <v>36</v>
      </c>
      <c r="L163" s="87">
        <f>I163</f>
        <v>69.376999999999995</v>
      </c>
      <c r="M163" s="129"/>
      <c r="N163" s="129"/>
      <c r="O163" s="129"/>
      <c r="P163" s="211"/>
      <c r="Q163" s="129"/>
      <c r="R163" s="125"/>
      <c r="S163" s="125"/>
      <c r="T163" s="125"/>
      <c r="U163" s="125"/>
      <c r="V163" s="125"/>
      <c r="W163" s="125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5"/>
      <c r="AH163" s="125"/>
      <c r="AI163" s="121"/>
      <c r="AJ163" s="121"/>
      <c r="AK163" s="121"/>
      <c r="AL163" s="121"/>
      <c r="AM163" s="121"/>
      <c r="AN163" s="123"/>
      <c r="AO163" s="123"/>
      <c r="AP163" s="121"/>
      <c r="AQ163" s="121"/>
      <c r="AR163" s="121"/>
      <c r="AS163" s="122"/>
      <c r="AT163" s="122"/>
      <c r="AU163" s="131"/>
      <c r="AV163" s="131"/>
      <c r="AW163" s="114"/>
      <c r="AX163" s="131"/>
      <c r="AY163" s="131"/>
      <c r="AZ163" s="122"/>
      <c r="BA163" s="127"/>
    </row>
    <row r="164" spans="1:58" ht="30" x14ac:dyDescent="0.25">
      <c r="A164" s="131"/>
      <c r="B164" s="210"/>
      <c r="C164" s="122"/>
      <c r="D164" s="89" t="s">
        <v>40</v>
      </c>
      <c r="E164" s="89" t="s">
        <v>41</v>
      </c>
      <c r="F164" s="89">
        <v>1</v>
      </c>
      <c r="G164" s="29" t="s">
        <v>240</v>
      </c>
      <c r="H164" s="87">
        <v>300</v>
      </c>
      <c r="I164" s="87">
        <f t="shared" si="48"/>
        <v>300</v>
      </c>
      <c r="J164" s="87" t="s">
        <v>36</v>
      </c>
      <c r="K164" s="87" t="s">
        <v>36</v>
      </c>
      <c r="L164" s="87">
        <f>I164</f>
        <v>300</v>
      </c>
      <c r="M164" s="130"/>
      <c r="N164" s="130"/>
      <c r="O164" s="130"/>
      <c r="P164" s="204"/>
      <c r="Q164" s="130"/>
      <c r="R164" s="126"/>
      <c r="S164" s="126"/>
      <c r="T164" s="126"/>
      <c r="U164" s="126"/>
      <c r="V164" s="126"/>
      <c r="W164" s="126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26"/>
      <c r="AH164" s="126"/>
      <c r="AI164" s="121"/>
      <c r="AJ164" s="121"/>
      <c r="AK164" s="121"/>
      <c r="AL164" s="121"/>
      <c r="AM164" s="121"/>
      <c r="AN164" s="123"/>
      <c r="AO164" s="123"/>
      <c r="AP164" s="121"/>
      <c r="AQ164" s="121"/>
      <c r="AR164" s="121"/>
      <c r="AS164" s="122"/>
      <c r="AT164" s="122"/>
      <c r="AU164" s="131"/>
      <c r="AV164" s="131"/>
      <c r="AW164" s="103"/>
      <c r="AX164" s="131"/>
      <c r="AY164" s="131"/>
      <c r="AZ164" s="122"/>
      <c r="BA164" s="127"/>
    </row>
    <row r="165" spans="1:58" ht="63.75" customHeight="1" x14ac:dyDescent="0.25">
      <c r="A165" s="131">
        <v>36</v>
      </c>
      <c r="B165" s="210" t="s">
        <v>246</v>
      </c>
      <c r="C165" s="122">
        <v>110</v>
      </c>
      <c r="D165" s="89" t="s">
        <v>252</v>
      </c>
      <c r="E165" s="89" t="s">
        <v>34</v>
      </c>
      <c r="F165" s="89">
        <v>5</v>
      </c>
      <c r="G165" s="92" t="s">
        <v>251</v>
      </c>
      <c r="H165" s="87">
        <v>286</v>
      </c>
      <c r="I165" s="87">
        <f t="shared" ref="I165:I168" si="49">F165*H165</f>
        <v>1430</v>
      </c>
      <c r="J165" s="87" t="s">
        <v>55</v>
      </c>
      <c r="K165" s="30">
        <v>1.05</v>
      </c>
      <c r="L165" s="87">
        <f>I165*K165</f>
        <v>1501.5</v>
      </c>
      <c r="M165" s="123">
        <f>L165+L166+L167</f>
        <v>3021.42</v>
      </c>
      <c r="N165" s="123">
        <f>M165*0.2</f>
        <v>604.28399999999999</v>
      </c>
      <c r="O165" s="123">
        <v>3625.7040000000002</v>
      </c>
      <c r="P165" s="218">
        <f>O165*R165*S165</f>
        <v>4038.0843215520003</v>
      </c>
      <c r="Q165" s="123">
        <v>4195.5696100925297</v>
      </c>
      <c r="R165" s="121">
        <v>1.0740000000000001</v>
      </c>
      <c r="S165" s="121">
        <v>1.0369999999999999</v>
      </c>
      <c r="T165" s="121">
        <v>1.0389999999999999</v>
      </c>
      <c r="U165" s="121">
        <v>1.042</v>
      </c>
      <c r="V165" s="121">
        <v>1.0429999999999999</v>
      </c>
      <c r="W165" s="121">
        <v>1.0429999999999999</v>
      </c>
      <c r="X165" s="123">
        <v>0</v>
      </c>
      <c r="Y165" s="123">
        <v>0</v>
      </c>
      <c r="Z165" s="123">
        <f>P165*T165</f>
        <v>4195.5696100925279</v>
      </c>
      <c r="AA165" s="123">
        <v>0</v>
      </c>
      <c r="AB165" s="123">
        <v>0</v>
      </c>
      <c r="AC165" s="123">
        <v>0</v>
      </c>
      <c r="AD165" s="123">
        <f>SUM(L165:L167)*1.2</f>
        <v>3625.7040000000002</v>
      </c>
      <c r="AE165" s="128">
        <f>AD165*AG165*AH165*AI165</f>
        <v>4081.991655003264</v>
      </c>
      <c r="AF165" s="128">
        <f>AM165+AN165+AO165+AP165+AQ165+AR165</f>
        <v>4081.991655003264</v>
      </c>
      <c r="AG165" s="121">
        <v>1.032</v>
      </c>
      <c r="AH165" s="121">
        <v>1.038</v>
      </c>
      <c r="AI165" s="121">
        <v>1.0509999999999999</v>
      </c>
      <c r="AJ165" s="121">
        <v>1.0429999999999999</v>
      </c>
      <c r="AK165" s="121">
        <v>1.042</v>
      </c>
      <c r="AL165" s="121">
        <v>1.0409999999999999</v>
      </c>
      <c r="AM165" s="121">
        <v>0</v>
      </c>
      <c r="AN165" s="123">
        <v>0</v>
      </c>
      <c r="AO165" s="123">
        <f>AD165*AG165*AH165*AI165</f>
        <v>4081.991655003264</v>
      </c>
      <c r="AP165" s="121">
        <v>0</v>
      </c>
      <c r="AQ165" s="121">
        <v>0</v>
      </c>
      <c r="AR165" s="121">
        <v>0</v>
      </c>
      <c r="AS165" s="122">
        <v>3625.7040000000002</v>
      </c>
      <c r="AT165" s="122">
        <v>5034.6835321110329</v>
      </c>
      <c r="AU165" s="131">
        <v>1.0740000000000001</v>
      </c>
      <c r="AV165" s="131">
        <v>1.0369999999999999</v>
      </c>
      <c r="AW165" s="102">
        <v>1.0389999999999999</v>
      </c>
      <c r="AX165" s="131">
        <v>0</v>
      </c>
      <c r="AY165" s="131">
        <v>0</v>
      </c>
      <c r="AZ165" s="219">
        <v>4195.5696100925279</v>
      </c>
      <c r="BA165" s="127">
        <f>AS9-O9</f>
        <v>0</v>
      </c>
    </row>
    <row r="166" spans="1:58" ht="37.5" customHeight="1" x14ac:dyDescent="0.25">
      <c r="A166" s="131"/>
      <c r="B166" s="210"/>
      <c r="C166" s="122"/>
      <c r="D166" s="89" t="s">
        <v>247</v>
      </c>
      <c r="E166" s="89" t="s">
        <v>249</v>
      </c>
      <c r="F166" s="89">
        <v>1</v>
      </c>
      <c r="G166" s="29" t="s">
        <v>248</v>
      </c>
      <c r="H166" s="87">
        <v>1173</v>
      </c>
      <c r="I166" s="87">
        <f t="shared" si="49"/>
        <v>1173</v>
      </c>
      <c r="J166" s="87" t="s">
        <v>100</v>
      </c>
      <c r="K166" s="30">
        <v>1.04</v>
      </c>
      <c r="L166" s="87">
        <f>I166*K166</f>
        <v>1219.92</v>
      </c>
      <c r="M166" s="123"/>
      <c r="N166" s="123"/>
      <c r="O166" s="123"/>
      <c r="P166" s="218"/>
      <c r="Q166" s="123"/>
      <c r="R166" s="121"/>
      <c r="S166" s="121"/>
      <c r="T166" s="121"/>
      <c r="U166" s="121"/>
      <c r="V166" s="121"/>
      <c r="W166" s="121"/>
      <c r="X166" s="123"/>
      <c r="Y166" s="123"/>
      <c r="Z166" s="123"/>
      <c r="AA166" s="123"/>
      <c r="AB166" s="123"/>
      <c r="AC166" s="123"/>
      <c r="AD166" s="123"/>
      <c r="AE166" s="129"/>
      <c r="AF166" s="129"/>
      <c r="AG166" s="121"/>
      <c r="AH166" s="121"/>
      <c r="AI166" s="121"/>
      <c r="AJ166" s="121"/>
      <c r="AK166" s="121"/>
      <c r="AL166" s="121"/>
      <c r="AM166" s="121"/>
      <c r="AN166" s="123"/>
      <c r="AO166" s="123"/>
      <c r="AP166" s="121"/>
      <c r="AQ166" s="121"/>
      <c r="AR166" s="121"/>
      <c r="AS166" s="122"/>
      <c r="AT166" s="122"/>
      <c r="AU166" s="131"/>
      <c r="AV166" s="131"/>
      <c r="AW166" s="114"/>
      <c r="AX166" s="131"/>
      <c r="AY166" s="131"/>
      <c r="AZ166" s="219"/>
      <c r="BA166" s="127"/>
    </row>
    <row r="167" spans="1:58" ht="75" customHeight="1" x14ac:dyDescent="0.25">
      <c r="A167" s="131"/>
      <c r="B167" s="210"/>
      <c r="C167" s="122"/>
      <c r="D167" s="89" t="s">
        <v>40</v>
      </c>
      <c r="E167" s="89" t="s">
        <v>41</v>
      </c>
      <c r="F167" s="89">
        <v>1</v>
      </c>
      <c r="G167" s="29" t="s">
        <v>250</v>
      </c>
      <c r="H167" s="87">
        <v>300</v>
      </c>
      <c r="I167" s="87">
        <f t="shared" si="49"/>
        <v>300</v>
      </c>
      <c r="J167" s="87" t="s">
        <v>36</v>
      </c>
      <c r="K167" s="87" t="s">
        <v>36</v>
      </c>
      <c r="L167" s="87">
        <f>I167</f>
        <v>300</v>
      </c>
      <c r="M167" s="123"/>
      <c r="N167" s="123"/>
      <c r="O167" s="123"/>
      <c r="P167" s="218"/>
      <c r="Q167" s="123"/>
      <c r="R167" s="121"/>
      <c r="S167" s="121"/>
      <c r="T167" s="121"/>
      <c r="U167" s="121"/>
      <c r="V167" s="121"/>
      <c r="W167" s="121"/>
      <c r="X167" s="123"/>
      <c r="Y167" s="123"/>
      <c r="Z167" s="123"/>
      <c r="AA167" s="123"/>
      <c r="AB167" s="123"/>
      <c r="AC167" s="123"/>
      <c r="AD167" s="123"/>
      <c r="AE167" s="130"/>
      <c r="AF167" s="130"/>
      <c r="AG167" s="121"/>
      <c r="AH167" s="121"/>
      <c r="AI167" s="121"/>
      <c r="AJ167" s="121"/>
      <c r="AK167" s="121"/>
      <c r="AL167" s="121"/>
      <c r="AM167" s="121"/>
      <c r="AN167" s="123"/>
      <c r="AO167" s="123"/>
      <c r="AP167" s="121"/>
      <c r="AQ167" s="121"/>
      <c r="AR167" s="121"/>
      <c r="AS167" s="122"/>
      <c r="AT167" s="122"/>
      <c r="AU167" s="131"/>
      <c r="AV167" s="131"/>
      <c r="AW167" s="103"/>
      <c r="AX167" s="131"/>
      <c r="AY167" s="131"/>
      <c r="AZ167" s="219"/>
      <c r="BA167" s="127"/>
    </row>
    <row r="168" spans="1:58" ht="80.25" customHeight="1" x14ac:dyDescent="0.25">
      <c r="A168" s="89">
        <v>37</v>
      </c>
      <c r="B168" s="93" t="s">
        <v>262</v>
      </c>
      <c r="C168" s="76">
        <v>110</v>
      </c>
      <c r="D168" s="78" t="s">
        <v>263</v>
      </c>
      <c r="E168" s="47" t="s">
        <v>33</v>
      </c>
      <c r="F168" s="78">
        <v>1</v>
      </c>
      <c r="G168" s="49" t="s">
        <v>264</v>
      </c>
      <c r="H168" s="81">
        <v>58303</v>
      </c>
      <c r="I168" s="81">
        <f t="shared" si="49"/>
        <v>58303</v>
      </c>
      <c r="J168" s="47" t="s">
        <v>92</v>
      </c>
      <c r="K168" s="47">
        <v>1.05</v>
      </c>
      <c r="L168" s="87">
        <f>I168*K168</f>
        <v>61218.15</v>
      </c>
      <c r="M168" s="87" t="s">
        <v>183</v>
      </c>
      <c r="N168" s="81" t="s">
        <v>183</v>
      </c>
      <c r="O168" s="81" t="s">
        <v>183</v>
      </c>
      <c r="P168" s="81" t="s">
        <v>183</v>
      </c>
      <c r="Q168" s="81" t="s">
        <v>183</v>
      </c>
      <c r="R168" s="86" t="s">
        <v>183</v>
      </c>
      <c r="S168" s="86" t="s">
        <v>183</v>
      </c>
      <c r="T168" s="86" t="s">
        <v>183</v>
      </c>
      <c r="U168" s="86" t="s">
        <v>183</v>
      </c>
      <c r="V168" s="86" t="s">
        <v>183</v>
      </c>
      <c r="W168" s="86" t="s">
        <v>265</v>
      </c>
      <c r="X168" s="81" t="s">
        <v>183</v>
      </c>
      <c r="Y168" s="87" t="str">
        <f>Q168</f>
        <v>нд</v>
      </c>
      <c r="Z168" s="87" t="s">
        <v>183</v>
      </c>
      <c r="AA168" s="87" t="s">
        <v>183</v>
      </c>
      <c r="AB168" s="87" t="s">
        <v>183</v>
      </c>
      <c r="AC168" s="87" t="s">
        <v>183</v>
      </c>
      <c r="AD168" s="87">
        <f>L168*1.2</f>
        <v>73461.78</v>
      </c>
      <c r="AE168" s="87">
        <f>AD168*AG168*AH168*AI168</f>
        <v>87324.725469864978</v>
      </c>
      <c r="AF168" s="87">
        <f>AM168+AN168+AO168+AP168+AQ168+AR168</f>
        <v>91778.286468828097</v>
      </c>
      <c r="AG168" s="86">
        <v>1.0680000000000001</v>
      </c>
      <c r="AH168" s="86">
        <v>1.056</v>
      </c>
      <c r="AI168" s="86">
        <v>1.054</v>
      </c>
      <c r="AJ168" s="86">
        <v>1.0509999999999999</v>
      </c>
      <c r="AK168" s="86">
        <v>1.0489999999999999</v>
      </c>
      <c r="AL168" s="86">
        <v>1.0469999999999999</v>
      </c>
      <c r="AM168" s="87">
        <v>0</v>
      </c>
      <c r="AN168" s="87">
        <v>0</v>
      </c>
      <c r="AO168" s="87">
        <v>0</v>
      </c>
      <c r="AP168" s="87">
        <f>AD168*AG168*AI168*AJ168*AH168</f>
        <v>91778.286468828097</v>
      </c>
      <c r="AQ168" s="87">
        <v>0</v>
      </c>
      <c r="AR168" s="87">
        <v>0</v>
      </c>
      <c r="AS168" s="87" t="s">
        <v>183</v>
      </c>
      <c r="AT168" s="87" t="s">
        <v>183</v>
      </c>
      <c r="AU168" s="82" t="s">
        <v>183</v>
      </c>
      <c r="AV168" s="82" t="s">
        <v>183</v>
      </c>
      <c r="AW168" s="82" t="s">
        <v>183</v>
      </c>
      <c r="AX168" s="81" t="s">
        <v>183</v>
      </c>
      <c r="AY168" s="81" t="s">
        <v>183</v>
      </c>
      <c r="AZ168" s="44" t="s">
        <v>183</v>
      </c>
      <c r="BA168" s="84" t="s">
        <v>183</v>
      </c>
      <c r="BB168" s="31" t="e">
        <f t="shared" ref="BB168" si="50">Q168/1.2</f>
        <v>#VALUE!</v>
      </c>
    </row>
    <row r="169" spans="1:58" x14ac:dyDescent="0.25">
      <c r="A169" s="131">
        <v>38</v>
      </c>
      <c r="B169" s="132" t="s">
        <v>269</v>
      </c>
      <c r="C169" s="108">
        <v>6</v>
      </c>
      <c r="D169" s="89" t="s">
        <v>38</v>
      </c>
      <c r="E169" s="89" t="s">
        <v>37</v>
      </c>
      <c r="F169" s="89">
        <v>2</v>
      </c>
      <c r="G169" s="92" t="s">
        <v>39</v>
      </c>
      <c r="H169" s="87">
        <v>1663</v>
      </c>
      <c r="I169" s="87">
        <f t="shared" ref="I169:I187" si="51">F169*H169</f>
        <v>3326</v>
      </c>
      <c r="J169" s="87" t="s">
        <v>54</v>
      </c>
      <c r="K169" s="30">
        <v>1.1000000000000001</v>
      </c>
      <c r="L169" s="87">
        <f>I169*K169</f>
        <v>3658.6000000000004</v>
      </c>
      <c r="M169" s="128" t="s">
        <v>183</v>
      </c>
      <c r="N169" s="128" t="s">
        <v>183</v>
      </c>
      <c r="O169" s="128" t="s">
        <v>183</v>
      </c>
      <c r="P169" s="128" t="s">
        <v>183</v>
      </c>
      <c r="Q169" s="128" t="s">
        <v>183</v>
      </c>
      <c r="R169" s="128" t="s">
        <v>183</v>
      </c>
      <c r="S169" s="128" t="s">
        <v>183</v>
      </c>
      <c r="T169" s="128" t="s">
        <v>183</v>
      </c>
      <c r="U169" s="128" t="s">
        <v>183</v>
      </c>
      <c r="V169" s="128" t="s">
        <v>183</v>
      </c>
      <c r="W169" s="128" t="s">
        <v>183</v>
      </c>
      <c r="X169" s="128" t="s">
        <v>183</v>
      </c>
      <c r="Y169" s="128" t="s">
        <v>183</v>
      </c>
      <c r="Z169" s="128" t="s">
        <v>183</v>
      </c>
      <c r="AA169" s="128" t="s">
        <v>183</v>
      </c>
      <c r="AB169" s="128" t="s">
        <v>183</v>
      </c>
      <c r="AC169" s="128" t="s">
        <v>183</v>
      </c>
      <c r="AD169" s="128">
        <f>SUM(L169:L174)*1.2</f>
        <v>5865.0042000000003</v>
      </c>
      <c r="AE169" s="128">
        <f>AD169*AG169*AH169*AI169</f>
        <v>6603.1033424016678</v>
      </c>
      <c r="AF169" s="128">
        <f>AM169+AN169+AO169+AP169+AQ169+AR169</f>
        <v>6887.0367861249388</v>
      </c>
      <c r="AG169" s="124">
        <v>1.032</v>
      </c>
      <c r="AH169" s="124">
        <v>1.038</v>
      </c>
      <c r="AI169" s="121">
        <v>1.0509999999999999</v>
      </c>
      <c r="AJ169" s="121">
        <v>1.0429999999999999</v>
      </c>
      <c r="AK169" s="121">
        <v>1.042</v>
      </c>
      <c r="AL169" s="121">
        <v>1.0409999999999999</v>
      </c>
      <c r="AM169" s="121">
        <v>0</v>
      </c>
      <c r="AN169" s="123">
        <v>0</v>
      </c>
      <c r="AO169" s="121">
        <v>0</v>
      </c>
      <c r="AP169" s="123">
        <f>AD169*AG169*AH169*AI169*AJ169</f>
        <v>6887.0367861249388</v>
      </c>
      <c r="AQ169" s="121">
        <v>0</v>
      </c>
      <c r="AR169" s="121">
        <v>0</v>
      </c>
      <c r="AS169" s="122">
        <v>3275.0484000000001</v>
      </c>
      <c r="AT169" s="123">
        <v>4377.0550259030397</v>
      </c>
      <c r="AU169" s="121">
        <v>1.0740000000000001</v>
      </c>
      <c r="AV169" s="121">
        <v>1.0369999999999999</v>
      </c>
      <c r="AW169" s="124">
        <v>1.0389999999999999</v>
      </c>
      <c r="AX169" s="123">
        <v>0</v>
      </c>
      <c r="AY169" s="123">
        <v>4377.0550259030397</v>
      </c>
      <c r="AZ169" s="123">
        <v>0</v>
      </c>
      <c r="BA169" s="127">
        <f>AS31-O31</f>
        <v>0</v>
      </c>
    </row>
    <row r="170" spans="1:58" ht="104.25" customHeight="1" x14ac:dyDescent="0.25">
      <c r="A170" s="131"/>
      <c r="B170" s="133"/>
      <c r="C170" s="117"/>
      <c r="D170" s="89" t="s">
        <v>42</v>
      </c>
      <c r="E170" s="89" t="s">
        <v>34</v>
      </c>
      <c r="F170" s="89">
        <v>0.51600000000000001</v>
      </c>
      <c r="G170" s="29" t="s">
        <v>43</v>
      </c>
      <c r="H170" s="87">
        <v>699</v>
      </c>
      <c r="I170" s="87">
        <f t="shared" si="51"/>
        <v>360.68400000000003</v>
      </c>
      <c r="J170" s="87" t="s">
        <v>55</v>
      </c>
      <c r="K170" s="30">
        <v>1.05</v>
      </c>
      <c r="L170" s="87">
        <f>I170*K170</f>
        <v>378.71820000000002</v>
      </c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5"/>
      <c r="AH170" s="125"/>
      <c r="AI170" s="121"/>
      <c r="AJ170" s="121"/>
      <c r="AK170" s="121"/>
      <c r="AL170" s="121"/>
      <c r="AM170" s="121"/>
      <c r="AN170" s="123"/>
      <c r="AO170" s="121"/>
      <c r="AP170" s="123"/>
      <c r="AQ170" s="121"/>
      <c r="AR170" s="121"/>
      <c r="AS170" s="122"/>
      <c r="AT170" s="123"/>
      <c r="AU170" s="121"/>
      <c r="AV170" s="121"/>
      <c r="AW170" s="125"/>
      <c r="AX170" s="123"/>
      <c r="AY170" s="123"/>
      <c r="AZ170" s="123"/>
      <c r="BA170" s="127"/>
    </row>
    <row r="171" spans="1:58" ht="66" customHeight="1" x14ac:dyDescent="0.25">
      <c r="A171" s="131"/>
      <c r="B171" s="133"/>
      <c r="C171" s="117"/>
      <c r="D171" s="89" t="s">
        <v>44</v>
      </c>
      <c r="E171" s="89" t="s">
        <v>45</v>
      </c>
      <c r="F171" s="89">
        <v>23</v>
      </c>
      <c r="G171" s="29" t="s">
        <v>46</v>
      </c>
      <c r="H171" s="87">
        <v>17</v>
      </c>
      <c r="I171" s="87">
        <f t="shared" si="51"/>
        <v>391</v>
      </c>
      <c r="J171" s="87" t="s">
        <v>55</v>
      </c>
      <c r="K171" s="30">
        <v>1.05</v>
      </c>
      <c r="L171" s="87">
        <f>I171*K171</f>
        <v>410.55</v>
      </c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5"/>
      <c r="AH171" s="125"/>
      <c r="AI171" s="121"/>
      <c r="AJ171" s="121"/>
      <c r="AK171" s="121"/>
      <c r="AL171" s="121"/>
      <c r="AM171" s="121"/>
      <c r="AN171" s="123"/>
      <c r="AO171" s="121"/>
      <c r="AP171" s="123"/>
      <c r="AQ171" s="121"/>
      <c r="AR171" s="121"/>
      <c r="AS171" s="122"/>
      <c r="AT171" s="123"/>
      <c r="AU171" s="121"/>
      <c r="AV171" s="121"/>
      <c r="AW171" s="125"/>
      <c r="AX171" s="123"/>
      <c r="AY171" s="123"/>
      <c r="AZ171" s="123"/>
      <c r="BA171" s="127"/>
    </row>
    <row r="172" spans="1:58" ht="59.25" customHeight="1" x14ac:dyDescent="0.25">
      <c r="A172" s="131"/>
      <c r="B172" s="133"/>
      <c r="C172" s="117"/>
      <c r="D172" s="89" t="s">
        <v>57</v>
      </c>
      <c r="E172" s="89" t="s">
        <v>34</v>
      </c>
      <c r="F172" s="89">
        <v>0.32200000000000001</v>
      </c>
      <c r="G172" s="29" t="s">
        <v>58</v>
      </c>
      <c r="H172" s="87">
        <v>413</v>
      </c>
      <c r="I172" s="87">
        <f t="shared" si="51"/>
        <v>132.98599999999999</v>
      </c>
      <c r="J172" s="87" t="s">
        <v>55</v>
      </c>
      <c r="K172" s="30">
        <v>1.05</v>
      </c>
      <c r="L172" s="87">
        <f>I172*K172</f>
        <v>139.6353</v>
      </c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5"/>
      <c r="AH172" s="125"/>
      <c r="AI172" s="121"/>
      <c r="AJ172" s="121"/>
      <c r="AK172" s="121"/>
      <c r="AL172" s="121"/>
      <c r="AM172" s="121"/>
      <c r="AN172" s="123"/>
      <c r="AO172" s="121"/>
      <c r="AP172" s="123"/>
      <c r="AQ172" s="121"/>
      <c r="AR172" s="121"/>
      <c r="AS172" s="122"/>
      <c r="AT172" s="123"/>
      <c r="AU172" s="121"/>
      <c r="AV172" s="121"/>
      <c r="AW172" s="125"/>
      <c r="AX172" s="123"/>
      <c r="AY172" s="123"/>
      <c r="AZ172" s="123"/>
      <c r="BA172" s="127"/>
    </row>
    <row r="173" spans="1:58" ht="88.5" customHeight="1" x14ac:dyDescent="0.25">
      <c r="A173" s="131"/>
      <c r="B173" s="133"/>
      <c r="C173" s="117"/>
      <c r="D173" s="89" t="s">
        <v>48</v>
      </c>
      <c r="E173" s="89" t="s">
        <v>49</v>
      </c>
      <c r="F173" s="89"/>
      <c r="G173" s="29" t="s">
        <v>51</v>
      </c>
      <c r="H173" s="87">
        <v>187</v>
      </c>
      <c r="I173" s="87">
        <f t="shared" si="51"/>
        <v>0</v>
      </c>
      <c r="J173" s="87" t="s">
        <v>36</v>
      </c>
      <c r="K173" s="30" t="s">
        <v>36</v>
      </c>
      <c r="L173" s="87">
        <f>I173</f>
        <v>0</v>
      </c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5"/>
      <c r="AH173" s="125"/>
      <c r="AI173" s="121"/>
      <c r="AJ173" s="121"/>
      <c r="AK173" s="121"/>
      <c r="AL173" s="121"/>
      <c r="AM173" s="121"/>
      <c r="AN173" s="123"/>
      <c r="AO173" s="121"/>
      <c r="AP173" s="123"/>
      <c r="AQ173" s="121"/>
      <c r="AR173" s="121"/>
      <c r="AS173" s="122"/>
      <c r="AT173" s="123"/>
      <c r="AU173" s="121"/>
      <c r="AV173" s="121"/>
      <c r="AW173" s="125"/>
      <c r="AX173" s="123"/>
      <c r="AY173" s="123"/>
      <c r="AZ173" s="123"/>
      <c r="BA173" s="127"/>
      <c r="BF173" s="37"/>
    </row>
    <row r="174" spans="1:58" ht="30" x14ac:dyDescent="0.25">
      <c r="A174" s="131"/>
      <c r="B174" s="134"/>
      <c r="C174" s="109"/>
      <c r="D174" s="89" t="s">
        <v>40</v>
      </c>
      <c r="E174" s="89" t="s">
        <v>41</v>
      </c>
      <c r="F174" s="89">
        <v>1</v>
      </c>
      <c r="G174" s="29" t="s">
        <v>240</v>
      </c>
      <c r="H174" s="87">
        <v>300</v>
      </c>
      <c r="I174" s="87">
        <f t="shared" si="51"/>
        <v>300</v>
      </c>
      <c r="J174" s="87" t="s">
        <v>36</v>
      </c>
      <c r="K174" s="87" t="s">
        <v>36</v>
      </c>
      <c r="L174" s="87">
        <f>I174</f>
        <v>300</v>
      </c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26"/>
      <c r="AH174" s="126"/>
      <c r="AI174" s="121"/>
      <c r="AJ174" s="121"/>
      <c r="AK174" s="121"/>
      <c r="AL174" s="121"/>
      <c r="AM174" s="121"/>
      <c r="AN174" s="123"/>
      <c r="AO174" s="121"/>
      <c r="AP174" s="123"/>
      <c r="AQ174" s="121"/>
      <c r="AR174" s="121"/>
      <c r="AS174" s="122"/>
      <c r="AT174" s="123"/>
      <c r="AU174" s="121"/>
      <c r="AV174" s="121"/>
      <c r="AW174" s="126"/>
      <c r="AX174" s="123"/>
      <c r="AY174" s="123"/>
      <c r="AZ174" s="123"/>
      <c r="BA174" s="127"/>
      <c r="BF174" s="37"/>
    </row>
    <row r="175" spans="1:58" ht="99" customHeight="1" x14ac:dyDescent="0.25">
      <c r="A175" s="131">
        <v>39</v>
      </c>
      <c r="B175" s="132" t="s">
        <v>274</v>
      </c>
      <c r="C175" s="108">
        <v>6</v>
      </c>
      <c r="D175" s="89" t="s">
        <v>42</v>
      </c>
      <c r="E175" s="89" t="s">
        <v>34</v>
      </c>
      <c r="F175" s="89">
        <v>1.4390000000000001</v>
      </c>
      <c r="G175" s="29" t="s">
        <v>43</v>
      </c>
      <c r="H175" s="87">
        <v>699</v>
      </c>
      <c r="I175" s="87">
        <f t="shared" ref="I175" si="52">F175*H175</f>
        <v>1005.861</v>
      </c>
      <c r="J175" s="87" t="s">
        <v>55</v>
      </c>
      <c r="K175" s="30">
        <v>1.05</v>
      </c>
      <c r="L175" s="87">
        <f>I175*K175</f>
        <v>1056.1540500000001</v>
      </c>
      <c r="M175" s="128" t="s">
        <v>183</v>
      </c>
      <c r="N175" s="128" t="s">
        <v>183</v>
      </c>
      <c r="O175" s="128" t="s">
        <v>183</v>
      </c>
      <c r="P175" s="128" t="s">
        <v>183</v>
      </c>
      <c r="Q175" s="128" t="s">
        <v>183</v>
      </c>
      <c r="R175" s="128" t="s">
        <v>183</v>
      </c>
      <c r="S175" s="128" t="s">
        <v>183</v>
      </c>
      <c r="T175" s="128" t="s">
        <v>183</v>
      </c>
      <c r="U175" s="128" t="s">
        <v>183</v>
      </c>
      <c r="V175" s="128" t="s">
        <v>183</v>
      </c>
      <c r="W175" s="128" t="s">
        <v>183</v>
      </c>
      <c r="X175" s="128" t="s">
        <v>183</v>
      </c>
      <c r="Y175" s="128" t="s">
        <v>183</v>
      </c>
      <c r="Z175" s="128" t="s">
        <v>183</v>
      </c>
      <c r="AA175" s="128" t="s">
        <v>183</v>
      </c>
      <c r="AB175" s="128" t="s">
        <v>183</v>
      </c>
      <c r="AC175" s="128" t="s">
        <v>183</v>
      </c>
      <c r="AD175" s="128">
        <f>SUM(L175:L180)*1.2</f>
        <v>7892.3034000000007</v>
      </c>
      <c r="AE175" s="128">
        <f>AD175*AG175*AH175*AI175</f>
        <v>8885.5341245600557</v>
      </c>
      <c r="AF175" s="128">
        <f>AM175+AN175+AO175+AP175+AQ175+AR175</f>
        <v>9267.6120919161367</v>
      </c>
      <c r="AG175" s="124">
        <v>1.032</v>
      </c>
      <c r="AH175" s="124">
        <v>1.038</v>
      </c>
      <c r="AI175" s="121">
        <v>1.0509999999999999</v>
      </c>
      <c r="AJ175" s="121">
        <v>1.0429999999999999</v>
      </c>
      <c r="AK175" s="121">
        <v>1.042</v>
      </c>
      <c r="AL175" s="121">
        <v>1.0409999999999999</v>
      </c>
      <c r="AM175" s="121">
        <v>0</v>
      </c>
      <c r="AN175" s="123">
        <v>0</v>
      </c>
      <c r="AO175" s="121">
        <v>0</v>
      </c>
      <c r="AP175" s="128">
        <f>AD175*AG175*AI175*AJ175*AH175</f>
        <v>9267.6120919161367</v>
      </c>
      <c r="AQ175" s="121">
        <v>0</v>
      </c>
      <c r="AR175" s="121">
        <v>0</v>
      </c>
      <c r="AS175" s="122">
        <v>3275.0484000000001</v>
      </c>
      <c r="AT175" s="123">
        <v>4377.0550259030397</v>
      </c>
      <c r="AU175" s="121">
        <v>1.0740000000000001</v>
      </c>
      <c r="AV175" s="121">
        <v>1.0369999999999999</v>
      </c>
      <c r="AW175" s="124">
        <v>1.0389999999999999</v>
      </c>
      <c r="AX175" s="123">
        <v>0</v>
      </c>
      <c r="AY175" s="123">
        <v>4377.0550259030397</v>
      </c>
      <c r="AZ175" s="123">
        <v>0</v>
      </c>
      <c r="BA175" s="127">
        <f>AS49-O49</f>
        <v>0</v>
      </c>
      <c r="BF175" s="72"/>
    </row>
    <row r="176" spans="1:58" ht="66" customHeight="1" x14ac:dyDescent="0.25">
      <c r="A176" s="131"/>
      <c r="B176" s="133"/>
      <c r="C176" s="117"/>
      <c r="D176" s="89" t="s">
        <v>44</v>
      </c>
      <c r="E176" s="89" t="s">
        <v>45</v>
      </c>
      <c r="F176" s="89">
        <v>43.875</v>
      </c>
      <c r="G176" s="29" t="s">
        <v>46</v>
      </c>
      <c r="H176" s="87">
        <v>17</v>
      </c>
      <c r="I176" s="87">
        <f>F176*H176</f>
        <v>745.875</v>
      </c>
      <c r="J176" s="87" t="s">
        <v>55</v>
      </c>
      <c r="K176" s="30">
        <v>1.05</v>
      </c>
      <c r="L176" s="87">
        <f>I176*K176</f>
        <v>783.16875000000005</v>
      </c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5"/>
      <c r="AH176" s="125"/>
      <c r="AI176" s="121"/>
      <c r="AJ176" s="121"/>
      <c r="AK176" s="121"/>
      <c r="AL176" s="121"/>
      <c r="AM176" s="121"/>
      <c r="AN176" s="123"/>
      <c r="AO176" s="121"/>
      <c r="AP176" s="129"/>
      <c r="AQ176" s="121"/>
      <c r="AR176" s="121"/>
      <c r="AS176" s="122"/>
      <c r="AT176" s="123"/>
      <c r="AU176" s="121"/>
      <c r="AV176" s="121"/>
      <c r="AW176" s="125"/>
      <c r="AX176" s="123"/>
      <c r="AY176" s="123"/>
      <c r="AZ176" s="123"/>
      <c r="BA176" s="127"/>
      <c r="BF176" s="37"/>
    </row>
    <row r="177" spans="1:53" ht="90" customHeight="1" x14ac:dyDescent="0.25">
      <c r="A177" s="131"/>
      <c r="B177" s="133"/>
      <c r="C177" s="117"/>
      <c r="D177" s="89" t="s">
        <v>281</v>
      </c>
      <c r="E177" s="89" t="s">
        <v>34</v>
      </c>
      <c r="F177" s="89">
        <v>4.3170000000000002</v>
      </c>
      <c r="G177" s="29" t="s">
        <v>280</v>
      </c>
      <c r="H177" s="87">
        <v>431</v>
      </c>
      <c r="I177" s="87">
        <f t="shared" si="51"/>
        <v>1860.6270000000002</v>
      </c>
      <c r="J177" s="87" t="s">
        <v>55</v>
      </c>
      <c r="K177" s="30">
        <v>1.05</v>
      </c>
      <c r="L177" s="87">
        <f>I177*K177</f>
        <v>1953.6583500000004</v>
      </c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5"/>
      <c r="AH177" s="125"/>
      <c r="AI177" s="121"/>
      <c r="AJ177" s="121"/>
      <c r="AK177" s="121"/>
      <c r="AL177" s="121"/>
      <c r="AM177" s="121"/>
      <c r="AN177" s="123"/>
      <c r="AO177" s="121"/>
      <c r="AP177" s="129"/>
      <c r="AQ177" s="121"/>
      <c r="AR177" s="121"/>
      <c r="AS177" s="122"/>
      <c r="AT177" s="123"/>
      <c r="AU177" s="121"/>
      <c r="AV177" s="121"/>
      <c r="AW177" s="125"/>
      <c r="AX177" s="123"/>
      <c r="AY177" s="123"/>
      <c r="AZ177" s="123"/>
      <c r="BA177" s="127"/>
    </row>
    <row r="178" spans="1:53" ht="88.5" customHeight="1" x14ac:dyDescent="0.25">
      <c r="A178" s="131"/>
      <c r="B178" s="133"/>
      <c r="C178" s="117"/>
      <c r="D178" s="89" t="s">
        <v>48</v>
      </c>
      <c r="E178" s="89" t="s">
        <v>49</v>
      </c>
      <c r="F178" s="89">
        <v>1.44</v>
      </c>
      <c r="G178" s="29" t="s">
        <v>51</v>
      </c>
      <c r="H178" s="87">
        <v>187</v>
      </c>
      <c r="I178" s="87">
        <f t="shared" ref="I178" si="53">F178*H178</f>
        <v>269.27999999999997</v>
      </c>
      <c r="J178" s="87" t="s">
        <v>36</v>
      </c>
      <c r="K178" s="30" t="s">
        <v>36</v>
      </c>
      <c r="L178" s="87">
        <f>I178</f>
        <v>269.27999999999997</v>
      </c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5"/>
      <c r="AH178" s="125"/>
      <c r="AI178" s="121"/>
      <c r="AJ178" s="121"/>
      <c r="AK178" s="121"/>
      <c r="AL178" s="121"/>
      <c r="AM178" s="121"/>
      <c r="AN178" s="123"/>
      <c r="AO178" s="121"/>
      <c r="AP178" s="129"/>
      <c r="AQ178" s="121"/>
      <c r="AR178" s="121"/>
      <c r="AS178" s="122"/>
      <c r="AT178" s="123"/>
      <c r="AU178" s="121"/>
      <c r="AV178" s="121"/>
      <c r="AW178" s="125"/>
      <c r="AX178" s="123"/>
      <c r="AY178" s="123"/>
      <c r="AZ178" s="123"/>
      <c r="BA178" s="127"/>
    </row>
    <row r="179" spans="1:53" ht="45" customHeight="1" x14ac:dyDescent="0.25">
      <c r="A179" s="131"/>
      <c r="B179" s="133"/>
      <c r="C179" s="117"/>
      <c r="D179" s="89" t="s">
        <v>283</v>
      </c>
      <c r="E179" s="89" t="s">
        <v>34</v>
      </c>
      <c r="F179" s="89">
        <v>80</v>
      </c>
      <c r="G179" s="29" t="s">
        <v>282</v>
      </c>
      <c r="H179" s="87">
        <v>2058</v>
      </c>
      <c r="I179" s="87">
        <f t="shared" si="51"/>
        <v>164640</v>
      </c>
      <c r="J179" s="87" t="s">
        <v>284</v>
      </c>
      <c r="K179" s="30">
        <v>1.1200000000000001</v>
      </c>
      <c r="L179" s="87">
        <v>1953.6583500000004</v>
      </c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5"/>
      <c r="AH179" s="125"/>
      <c r="AI179" s="121"/>
      <c r="AJ179" s="121"/>
      <c r="AK179" s="121"/>
      <c r="AL179" s="121"/>
      <c r="AM179" s="121"/>
      <c r="AN179" s="123"/>
      <c r="AO179" s="121"/>
      <c r="AP179" s="129"/>
      <c r="AQ179" s="121"/>
      <c r="AR179" s="121"/>
      <c r="AS179" s="122"/>
      <c r="AT179" s="123"/>
      <c r="AU179" s="121"/>
      <c r="AV179" s="121"/>
      <c r="AW179" s="125"/>
      <c r="AX179" s="123"/>
      <c r="AY179" s="123"/>
      <c r="AZ179" s="123"/>
      <c r="BA179" s="127"/>
    </row>
    <row r="180" spans="1:53" ht="30" x14ac:dyDescent="0.25">
      <c r="A180" s="131"/>
      <c r="B180" s="134"/>
      <c r="C180" s="109"/>
      <c r="D180" s="89" t="s">
        <v>277</v>
      </c>
      <c r="E180" s="89" t="s">
        <v>215</v>
      </c>
      <c r="F180" s="89">
        <v>1</v>
      </c>
      <c r="G180" s="29" t="s">
        <v>278</v>
      </c>
      <c r="H180" s="87">
        <v>561</v>
      </c>
      <c r="I180" s="87">
        <f t="shared" si="51"/>
        <v>561</v>
      </c>
      <c r="J180" s="87" t="s">
        <v>36</v>
      </c>
      <c r="K180" s="87" t="s">
        <v>36</v>
      </c>
      <c r="L180" s="87">
        <f>I180</f>
        <v>561</v>
      </c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26"/>
      <c r="AH180" s="126"/>
      <c r="AI180" s="121"/>
      <c r="AJ180" s="121"/>
      <c r="AK180" s="121"/>
      <c r="AL180" s="121"/>
      <c r="AM180" s="121"/>
      <c r="AN180" s="123"/>
      <c r="AO180" s="121"/>
      <c r="AP180" s="130"/>
      <c r="AQ180" s="121"/>
      <c r="AR180" s="121"/>
      <c r="AS180" s="122"/>
      <c r="AT180" s="123"/>
      <c r="AU180" s="121"/>
      <c r="AV180" s="121"/>
      <c r="AW180" s="126"/>
      <c r="AX180" s="123"/>
      <c r="AY180" s="123"/>
      <c r="AZ180" s="123"/>
      <c r="BA180" s="127"/>
    </row>
    <row r="181" spans="1:53" ht="90" x14ac:dyDescent="0.25">
      <c r="A181" s="131">
        <v>40</v>
      </c>
      <c r="B181" s="132" t="s">
        <v>275</v>
      </c>
      <c r="C181" s="108">
        <v>6</v>
      </c>
      <c r="D181" s="89" t="s">
        <v>42</v>
      </c>
      <c r="E181" s="89" t="s">
        <v>34</v>
      </c>
      <c r="F181" s="89">
        <v>1.4590000000000001</v>
      </c>
      <c r="G181" s="29" t="s">
        <v>43</v>
      </c>
      <c r="H181" s="87">
        <v>699</v>
      </c>
      <c r="I181" s="87">
        <f t="shared" si="51"/>
        <v>1019.841</v>
      </c>
      <c r="J181" s="87" t="s">
        <v>55</v>
      </c>
      <c r="K181" s="30">
        <v>1.05</v>
      </c>
      <c r="L181" s="87">
        <f>I181*K181</f>
        <v>1070.83305</v>
      </c>
      <c r="M181" s="128" t="s">
        <v>183</v>
      </c>
      <c r="N181" s="128" t="s">
        <v>183</v>
      </c>
      <c r="O181" s="128" t="s">
        <v>183</v>
      </c>
      <c r="P181" s="128" t="s">
        <v>183</v>
      </c>
      <c r="Q181" s="128" t="s">
        <v>183</v>
      </c>
      <c r="R181" s="128" t="s">
        <v>183</v>
      </c>
      <c r="S181" s="128" t="s">
        <v>183</v>
      </c>
      <c r="T181" s="128" t="s">
        <v>183</v>
      </c>
      <c r="U181" s="128" t="s">
        <v>183</v>
      </c>
      <c r="V181" s="128" t="s">
        <v>183</v>
      </c>
      <c r="W181" s="128" t="s">
        <v>183</v>
      </c>
      <c r="X181" s="128" t="s">
        <v>183</v>
      </c>
      <c r="Y181" s="128" t="s">
        <v>183</v>
      </c>
      <c r="Z181" s="128" t="s">
        <v>183</v>
      </c>
      <c r="AA181" s="128" t="s">
        <v>183</v>
      </c>
      <c r="AB181" s="128" t="s">
        <v>183</v>
      </c>
      <c r="AC181" s="128" t="s">
        <v>183</v>
      </c>
      <c r="AD181" s="128">
        <f>SUM(L181:L186)*1.2</f>
        <v>7971.0873000000001</v>
      </c>
      <c r="AE181" s="128">
        <f>AD181*AG181*AH181*AI181</f>
        <v>8974.2328220677955</v>
      </c>
      <c r="AF181" s="128">
        <f>AM181+AN181+AO181+AP181+AQ181+AR181</f>
        <v>9360.1248334167103</v>
      </c>
      <c r="AG181" s="124">
        <v>1.032</v>
      </c>
      <c r="AH181" s="124">
        <v>1.038</v>
      </c>
      <c r="AI181" s="121">
        <v>1.0509999999999999</v>
      </c>
      <c r="AJ181" s="121">
        <v>1.0429999999999999</v>
      </c>
      <c r="AK181" s="121">
        <v>1.042</v>
      </c>
      <c r="AL181" s="121">
        <v>1.0409999999999999</v>
      </c>
      <c r="AM181" s="121">
        <v>0</v>
      </c>
      <c r="AN181" s="123">
        <v>0</v>
      </c>
      <c r="AO181" s="121">
        <v>0</v>
      </c>
      <c r="AP181" s="128">
        <f>AD181*AG181*AI181*AJ181*AH181</f>
        <v>9360.1248334167103</v>
      </c>
      <c r="AQ181" s="121">
        <v>0</v>
      </c>
      <c r="AR181" s="121">
        <v>0</v>
      </c>
      <c r="AS181" s="122">
        <v>3275.0484000000001</v>
      </c>
      <c r="AT181" s="123">
        <v>4377.0550259030397</v>
      </c>
      <c r="AU181" s="121">
        <v>1.0740000000000001</v>
      </c>
      <c r="AV181" s="121">
        <v>1.0369999999999999</v>
      </c>
      <c r="AW181" s="124">
        <v>1.0389999999999999</v>
      </c>
      <c r="AX181" s="123">
        <v>0</v>
      </c>
      <c r="AY181" s="123">
        <v>4377.0550259030397</v>
      </c>
      <c r="AZ181" s="123">
        <v>0</v>
      </c>
      <c r="BA181" s="127">
        <f>AS55-O55</f>
        <v>0</v>
      </c>
    </row>
    <row r="182" spans="1:53" ht="104.25" customHeight="1" x14ac:dyDescent="0.25">
      <c r="A182" s="131"/>
      <c r="B182" s="133"/>
      <c r="C182" s="117"/>
      <c r="D182" s="89" t="s">
        <v>44</v>
      </c>
      <c r="E182" s="89" t="s">
        <v>45</v>
      </c>
      <c r="F182" s="89">
        <v>45</v>
      </c>
      <c r="G182" s="29" t="s">
        <v>46</v>
      </c>
      <c r="H182" s="87">
        <v>17</v>
      </c>
      <c r="I182" s="87">
        <f>F182*H182</f>
        <v>765</v>
      </c>
      <c r="J182" s="87" t="s">
        <v>55</v>
      </c>
      <c r="K182" s="30">
        <v>1.05</v>
      </c>
      <c r="L182" s="87">
        <f>I182*K182</f>
        <v>803.25</v>
      </c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5"/>
      <c r="AH182" s="125"/>
      <c r="AI182" s="121"/>
      <c r="AJ182" s="121"/>
      <c r="AK182" s="121"/>
      <c r="AL182" s="121"/>
      <c r="AM182" s="121"/>
      <c r="AN182" s="123"/>
      <c r="AO182" s="121"/>
      <c r="AP182" s="129"/>
      <c r="AQ182" s="121"/>
      <c r="AR182" s="121"/>
      <c r="AS182" s="122"/>
      <c r="AT182" s="123"/>
      <c r="AU182" s="121"/>
      <c r="AV182" s="121"/>
      <c r="AW182" s="125"/>
      <c r="AX182" s="123"/>
      <c r="AY182" s="123"/>
      <c r="AZ182" s="123"/>
      <c r="BA182" s="127"/>
    </row>
    <row r="183" spans="1:53" ht="88.5" customHeight="1" x14ac:dyDescent="0.25">
      <c r="A183" s="131"/>
      <c r="B183" s="133"/>
      <c r="C183" s="117"/>
      <c r="D183" s="89" t="s">
        <v>281</v>
      </c>
      <c r="E183" s="89" t="s">
        <v>34</v>
      </c>
      <c r="F183" s="89">
        <v>4.3769999999999998</v>
      </c>
      <c r="G183" s="29" t="s">
        <v>280</v>
      </c>
      <c r="H183" s="87">
        <v>431</v>
      </c>
      <c r="I183" s="87">
        <f t="shared" ref="I183:I186" si="54">F183*H183</f>
        <v>1886.4869999999999</v>
      </c>
      <c r="J183" s="87" t="s">
        <v>55</v>
      </c>
      <c r="K183" s="30">
        <v>1.05</v>
      </c>
      <c r="L183" s="87">
        <f>I183*K183</f>
        <v>1980.8113499999999</v>
      </c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5"/>
      <c r="AH183" s="125"/>
      <c r="AI183" s="121"/>
      <c r="AJ183" s="121"/>
      <c r="AK183" s="121"/>
      <c r="AL183" s="121"/>
      <c r="AM183" s="121"/>
      <c r="AN183" s="123"/>
      <c r="AO183" s="121"/>
      <c r="AP183" s="129"/>
      <c r="AQ183" s="121"/>
      <c r="AR183" s="121"/>
      <c r="AS183" s="122"/>
      <c r="AT183" s="123"/>
      <c r="AU183" s="121"/>
      <c r="AV183" s="121"/>
      <c r="AW183" s="125"/>
      <c r="AX183" s="123"/>
      <c r="AY183" s="123"/>
      <c r="AZ183" s="123"/>
      <c r="BA183" s="127"/>
    </row>
    <row r="184" spans="1:53" ht="85.5" customHeight="1" x14ac:dyDescent="0.25">
      <c r="A184" s="131"/>
      <c r="B184" s="133"/>
      <c r="C184" s="117"/>
      <c r="D184" s="89" t="s">
        <v>48</v>
      </c>
      <c r="E184" s="89" t="s">
        <v>49</v>
      </c>
      <c r="F184" s="89">
        <v>1.46</v>
      </c>
      <c r="G184" s="29" t="s">
        <v>51</v>
      </c>
      <c r="H184" s="87">
        <v>187</v>
      </c>
      <c r="I184" s="87">
        <f t="shared" si="54"/>
        <v>273.02</v>
      </c>
      <c r="J184" s="87" t="s">
        <v>36</v>
      </c>
      <c r="K184" s="30" t="s">
        <v>36</v>
      </c>
      <c r="L184" s="87">
        <f>I184</f>
        <v>273.02</v>
      </c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5"/>
      <c r="AH184" s="125"/>
      <c r="AI184" s="121"/>
      <c r="AJ184" s="121"/>
      <c r="AK184" s="121"/>
      <c r="AL184" s="121"/>
      <c r="AM184" s="121"/>
      <c r="AN184" s="123"/>
      <c r="AO184" s="121"/>
      <c r="AP184" s="129"/>
      <c r="AQ184" s="121"/>
      <c r="AR184" s="121"/>
      <c r="AS184" s="122"/>
      <c r="AT184" s="123"/>
      <c r="AU184" s="121"/>
      <c r="AV184" s="121"/>
      <c r="AW184" s="125"/>
      <c r="AX184" s="123"/>
      <c r="AY184" s="123"/>
      <c r="AZ184" s="123"/>
      <c r="BA184" s="127"/>
    </row>
    <row r="185" spans="1:53" ht="88.5" customHeight="1" x14ac:dyDescent="0.25">
      <c r="A185" s="131"/>
      <c r="B185" s="133"/>
      <c r="C185" s="117"/>
      <c r="D185" s="89" t="s">
        <v>283</v>
      </c>
      <c r="E185" s="89" t="s">
        <v>34</v>
      </c>
      <c r="F185" s="89">
        <v>70</v>
      </c>
      <c r="G185" s="29" t="s">
        <v>282</v>
      </c>
      <c r="H185" s="87">
        <v>2058</v>
      </c>
      <c r="I185" s="87">
        <f t="shared" si="54"/>
        <v>144060</v>
      </c>
      <c r="J185" s="87" t="s">
        <v>284</v>
      </c>
      <c r="K185" s="30">
        <v>1.1200000000000001</v>
      </c>
      <c r="L185" s="87">
        <v>1953.6583500000004</v>
      </c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5"/>
      <c r="AH185" s="125"/>
      <c r="AI185" s="121"/>
      <c r="AJ185" s="121"/>
      <c r="AK185" s="121"/>
      <c r="AL185" s="121"/>
      <c r="AM185" s="121"/>
      <c r="AN185" s="123"/>
      <c r="AO185" s="121"/>
      <c r="AP185" s="129"/>
      <c r="AQ185" s="121"/>
      <c r="AR185" s="121"/>
      <c r="AS185" s="122"/>
      <c r="AT185" s="123"/>
      <c r="AU185" s="121"/>
      <c r="AV185" s="121"/>
      <c r="AW185" s="125"/>
      <c r="AX185" s="123"/>
      <c r="AY185" s="123"/>
      <c r="AZ185" s="123"/>
      <c r="BA185" s="127"/>
    </row>
    <row r="186" spans="1:53" ht="37.5" customHeight="1" x14ac:dyDescent="0.25">
      <c r="A186" s="131"/>
      <c r="B186" s="134"/>
      <c r="C186" s="109"/>
      <c r="D186" s="89" t="s">
        <v>277</v>
      </c>
      <c r="E186" s="89" t="s">
        <v>215</v>
      </c>
      <c r="F186" s="89">
        <v>1</v>
      </c>
      <c r="G186" s="29" t="s">
        <v>278</v>
      </c>
      <c r="H186" s="87">
        <v>561</v>
      </c>
      <c r="I186" s="87">
        <f t="shared" si="54"/>
        <v>561</v>
      </c>
      <c r="J186" s="87" t="s">
        <v>36</v>
      </c>
      <c r="K186" s="87" t="s">
        <v>36</v>
      </c>
      <c r="L186" s="87">
        <f>I186</f>
        <v>561</v>
      </c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26"/>
      <c r="AH186" s="126"/>
      <c r="AI186" s="121"/>
      <c r="AJ186" s="121"/>
      <c r="AK186" s="121"/>
      <c r="AL186" s="121"/>
      <c r="AM186" s="121"/>
      <c r="AN186" s="123"/>
      <c r="AO186" s="121"/>
      <c r="AP186" s="130"/>
      <c r="AQ186" s="121"/>
      <c r="AR186" s="121"/>
      <c r="AS186" s="122"/>
      <c r="AT186" s="123"/>
      <c r="AU186" s="121"/>
      <c r="AV186" s="121"/>
      <c r="AW186" s="126"/>
      <c r="AX186" s="123"/>
      <c r="AY186" s="123"/>
      <c r="AZ186" s="123"/>
      <c r="BA186" s="127"/>
    </row>
    <row r="187" spans="1:53" ht="31.5" customHeight="1" x14ac:dyDescent="0.25">
      <c r="A187" s="131">
        <v>41</v>
      </c>
      <c r="B187" s="132" t="s">
        <v>276</v>
      </c>
      <c r="C187" s="108">
        <v>10</v>
      </c>
      <c r="D187" s="89" t="s">
        <v>38</v>
      </c>
      <c r="E187" s="89" t="s">
        <v>37</v>
      </c>
      <c r="F187" s="89">
        <v>2</v>
      </c>
      <c r="G187" s="92" t="s">
        <v>285</v>
      </c>
      <c r="H187" s="87">
        <v>1663</v>
      </c>
      <c r="I187" s="87">
        <f t="shared" si="51"/>
        <v>3326</v>
      </c>
      <c r="J187" s="87" t="s">
        <v>54</v>
      </c>
      <c r="K187" s="30">
        <v>1.1000000000000001</v>
      </c>
      <c r="L187" s="87">
        <f>I187*K187</f>
        <v>3658.6000000000004</v>
      </c>
      <c r="M187" s="128" t="s">
        <v>183</v>
      </c>
      <c r="N187" s="128" t="s">
        <v>183</v>
      </c>
      <c r="O187" s="128" t="s">
        <v>183</v>
      </c>
      <c r="P187" s="128" t="s">
        <v>183</v>
      </c>
      <c r="Q187" s="128" t="s">
        <v>183</v>
      </c>
      <c r="R187" s="128" t="s">
        <v>183</v>
      </c>
      <c r="S187" s="128" t="s">
        <v>183</v>
      </c>
      <c r="T187" s="128" t="s">
        <v>183</v>
      </c>
      <c r="U187" s="128" t="s">
        <v>183</v>
      </c>
      <c r="V187" s="128" t="s">
        <v>183</v>
      </c>
      <c r="W187" s="128" t="s">
        <v>183</v>
      </c>
      <c r="X187" s="128" t="s">
        <v>183</v>
      </c>
      <c r="Y187" s="128" t="s">
        <v>183</v>
      </c>
      <c r="Z187" s="128" t="s">
        <v>183</v>
      </c>
      <c r="AA187" s="128" t="s">
        <v>183</v>
      </c>
      <c r="AB187" s="128" t="s">
        <v>183</v>
      </c>
      <c r="AC187" s="128" t="s">
        <v>183</v>
      </c>
      <c r="AD187" s="128">
        <f>SUM(L187:L192)*1.2</f>
        <v>16184.243340000001</v>
      </c>
      <c r="AE187" s="128">
        <f>AD187*AG187*AH187*AI187</f>
        <v>18220.998254800212</v>
      </c>
      <c r="AF187" s="128">
        <f>AM187+AN187+AO187+AP187+AQ187+AR187</f>
        <v>19004.501179756619</v>
      </c>
      <c r="AG187" s="124">
        <v>1.032</v>
      </c>
      <c r="AH187" s="124">
        <v>1.038</v>
      </c>
      <c r="AI187" s="121">
        <v>1.0509999999999999</v>
      </c>
      <c r="AJ187" s="121">
        <v>1.0429999999999999</v>
      </c>
      <c r="AK187" s="121">
        <v>1.042</v>
      </c>
      <c r="AL187" s="121">
        <v>1.0409999999999999</v>
      </c>
      <c r="AM187" s="121">
        <v>0</v>
      </c>
      <c r="AN187" s="123">
        <v>0</v>
      </c>
      <c r="AO187" s="121">
        <v>0</v>
      </c>
      <c r="AP187" s="128">
        <f>AD187*AG187*AI187*AJ187*AH187</f>
        <v>19004.501179756619</v>
      </c>
      <c r="AQ187" s="121">
        <v>0</v>
      </c>
      <c r="AR187" s="121">
        <v>0</v>
      </c>
      <c r="AS187" s="122">
        <v>3275.0484000000001</v>
      </c>
      <c r="AT187" s="123">
        <v>4377.0550259030397</v>
      </c>
      <c r="AU187" s="121">
        <v>1.0740000000000001</v>
      </c>
      <c r="AV187" s="121">
        <v>1.0369999999999999</v>
      </c>
      <c r="AW187" s="124">
        <v>1.0389999999999999</v>
      </c>
      <c r="AX187" s="123">
        <v>0</v>
      </c>
      <c r="AY187" s="123">
        <v>4377.0550259030397</v>
      </c>
      <c r="AZ187" s="123">
        <v>0</v>
      </c>
      <c r="BA187" s="127">
        <f>AS61-O61</f>
        <v>0</v>
      </c>
    </row>
    <row r="188" spans="1:53" ht="104.25" customHeight="1" x14ac:dyDescent="0.25">
      <c r="A188" s="131"/>
      <c r="B188" s="133"/>
      <c r="C188" s="117"/>
      <c r="D188" s="89" t="s">
        <v>42</v>
      </c>
      <c r="E188" s="89" t="s">
        <v>34</v>
      </c>
      <c r="F188" s="89">
        <v>3.492</v>
      </c>
      <c r="G188" s="29" t="s">
        <v>287</v>
      </c>
      <c r="H188" s="87">
        <v>699</v>
      </c>
      <c r="I188" s="87">
        <f t="shared" ref="I188" si="55">F188*H188</f>
        <v>2440.9079999999999</v>
      </c>
      <c r="J188" s="87" t="s">
        <v>55</v>
      </c>
      <c r="K188" s="30">
        <v>1.05</v>
      </c>
      <c r="L188" s="87">
        <f>I188*K188</f>
        <v>2562.9533999999999</v>
      </c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5"/>
      <c r="AH188" s="125"/>
      <c r="AI188" s="121"/>
      <c r="AJ188" s="121"/>
      <c r="AK188" s="121"/>
      <c r="AL188" s="121"/>
      <c r="AM188" s="121"/>
      <c r="AN188" s="123"/>
      <c r="AO188" s="121"/>
      <c r="AP188" s="129"/>
      <c r="AQ188" s="121"/>
      <c r="AR188" s="121"/>
      <c r="AS188" s="122"/>
      <c r="AT188" s="123"/>
      <c r="AU188" s="121"/>
      <c r="AV188" s="121"/>
      <c r="AW188" s="125"/>
      <c r="AX188" s="123"/>
      <c r="AY188" s="123"/>
      <c r="AZ188" s="123"/>
      <c r="BA188" s="127"/>
    </row>
    <row r="189" spans="1:53" ht="104.25" customHeight="1" x14ac:dyDescent="0.25">
      <c r="A189" s="131"/>
      <c r="B189" s="133"/>
      <c r="C189" s="117"/>
      <c r="D189" s="89" t="s">
        <v>44</v>
      </c>
      <c r="E189" s="89" t="s">
        <v>45</v>
      </c>
      <c r="F189" s="89">
        <v>109.125</v>
      </c>
      <c r="G189" s="29" t="s">
        <v>286</v>
      </c>
      <c r="H189" s="87">
        <v>17</v>
      </c>
      <c r="I189" s="87">
        <f>F189*H189</f>
        <v>1855.125</v>
      </c>
      <c r="J189" s="87" t="s">
        <v>55</v>
      </c>
      <c r="K189" s="30">
        <v>1.05</v>
      </c>
      <c r="L189" s="87">
        <f>I189*K189</f>
        <v>1947.8812500000001</v>
      </c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5"/>
      <c r="AH189" s="125"/>
      <c r="AI189" s="121"/>
      <c r="AJ189" s="121"/>
      <c r="AK189" s="121"/>
      <c r="AL189" s="121"/>
      <c r="AM189" s="121"/>
      <c r="AN189" s="123"/>
      <c r="AO189" s="121"/>
      <c r="AP189" s="129"/>
      <c r="AQ189" s="121"/>
      <c r="AR189" s="121"/>
      <c r="AS189" s="122"/>
      <c r="AT189" s="123"/>
      <c r="AU189" s="121"/>
      <c r="AV189" s="121"/>
      <c r="AW189" s="125"/>
      <c r="AX189" s="123"/>
      <c r="AY189" s="123"/>
      <c r="AZ189" s="123"/>
      <c r="BA189" s="127"/>
    </row>
    <row r="190" spans="1:53" ht="90.75" customHeight="1" x14ac:dyDescent="0.25">
      <c r="A190" s="131"/>
      <c r="B190" s="133"/>
      <c r="C190" s="117"/>
      <c r="D190" s="89" t="s">
        <v>281</v>
      </c>
      <c r="E190" s="89" t="s">
        <v>34</v>
      </c>
      <c r="F190" s="89">
        <v>10.476000000000001</v>
      </c>
      <c r="G190" s="29" t="s">
        <v>280</v>
      </c>
      <c r="H190" s="87">
        <v>431</v>
      </c>
      <c r="I190" s="87">
        <f t="shared" ref="I190:I192" si="56">F190*H190</f>
        <v>4515.1559999999999</v>
      </c>
      <c r="J190" s="87" t="s">
        <v>55</v>
      </c>
      <c r="K190" s="30">
        <v>1.05</v>
      </c>
      <c r="L190" s="87">
        <f>I190*K190</f>
        <v>4740.9138000000003</v>
      </c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5"/>
      <c r="AH190" s="125"/>
      <c r="AI190" s="121"/>
      <c r="AJ190" s="121"/>
      <c r="AK190" s="121"/>
      <c r="AL190" s="121"/>
      <c r="AM190" s="121"/>
      <c r="AN190" s="123"/>
      <c r="AO190" s="121"/>
      <c r="AP190" s="129"/>
      <c r="AQ190" s="121"/>
      <c r="AR190" s="121"/>
      <c r="AS190" s="122"/>
      <c r="AT190" s="123"/>
      <c r="AU190" s="121"/>
      <c r="AV190" s="121"/>
      <c r="AW190" s="125"/>
      <c r="AX190" s="123"/>
      <c r="AY190" s="123"/>
      <c r="AZ190" s="123"/>
      <c r="BA190" s="127"/>
    </row>
    <row r="191" spans="1:53" ht="84.75" customHeight="1" x14ac:dyDescent="0.25">
      <c r="A191" s="131"/>
      <c r="B191" s="133"/>
      <c r="C191" s="117"/>
      <c r="D191" s="89" t="s">
        <v>48</v>
      </c>
      <c r="E191" s="89" t="s">
        <v>49</v>
      </c>
      <c r="F191" s="89">
        <v>8.3000000000000004E-2</v>
      </c>
      <c r="G191" s="29" t="s">
        <v>51</v>
      </c>
      <c r="H191" s="87">
        <v>187</v>
      </c>
      <c r="I191" s="87">
        <f t="shared" si="56"/>
        <v>15.521000000000001</v>
      </c>
      <c r="J191" s="87" t="s">
        <v>36</v>
      </c>
      <c r="K191" s="30" t="s">
        <v>36</v>
      </c>
      <c r="L191" s="87">
        <f>I191</f>
        <v>15.521000000000001</v>
      </c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5"/>
      <c r="AH191" s="125"/>
      <c r="AI191" s="121"/>
      <c r="AJ191" s="121"/>
      <c r="AK191" s="121"/>
      <c r="AL191" s="121"/>
      <c r="AM191" s="121"/>
      <c r="AN191" s="123"/>
      <c r="AO191" s="121"/>
      <c r="AP191" s="129"/>
      <c r="AQ191" s="121"/>
      <c r="AR191" s="121"/>
      <c r="AS191" s="122"/>
      <c r="AT191" s="123"/>
      <c r="AU191" s="121"/>
      <c r="AV191" s="121"/>
      <c r="AW191" s="125"/>
      <c r="AX191" s="123"/>
      <c r="AY191" s="123"/>
      <c r="AZ191" s="123"/>
      <c r="BA191" s="127"/>
    </row>
    <row r="192" spans="1:53" ht="37.5" customHeight="1" x14ac:dyDescent="0.25">
      <c r="A192" s="131"/>
      <c r="B192" s="134"/>
      <c r="C192" s="109"/>
      <c r="D192" s="89" t="s">
        <v>20</v>
      </c>
      <c r="E192" s="89" t="s">
        <v>215</v>
      </c>
      <c r="F192" s="89">
        <v>1</v>
      </c>
      <c r="G192" s="29" t="s">
        <v>279</v>
      </c>
      <c r="H192" s="87">
        <v>561</v>
      </c>
      <c r="I192" s="87">
        <f t="shared" si="56"/>
        <v>561</v>
      </c>
      <c r="J192" s="87" t="s">
        <v>36</v>
      </c>
      <c r="K192" s="87" t="s">
        <v>36</v>
      </c>
      <c r="L192" s="87">
        <f>I192</f>
        <v>561</v>
      </c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26"/>
      <c r="AH192" s="126"/>
      <c r="AI192" s="121"/>
      <c r="AJ192" s="121"/>
      <c r="AK192" s="121"/>
      <c r="AL192" s="121"/>
      <c r="AM192" s="121"/>
      <c r="AN192" s="123"/>
      <c r="AO192" s="121"/>
      <c r="AP192" s="130"/>
      <c r="AQ192" s="121"/>
      <c r="AR192" s="121"/>
      <c r="AS192" s="122"/>
      <c r="AT192" s="123"/>
      <c r="AU192" s="121"/>
      <c r="AV192" s="121"/>
      <c r="AW192" s="126"/>
      <c r="AX192" s="123"/>
      <c r="AY192" s="123"/>
      <c r="AZ192" s="123"/>
      <c r="BA192" s="127"/>
    </row>
    <row r="193" spans="1:55" ht="15.75" x14ac:dyDescent="0.25">
      <c r="A193" s="188" t="s">
        <v>8</v>
      </c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90"/>
      <c r="M193" s="61">
        <f>SUM(M9:M168)</f>
        <v>1461679.2200699998</v>
      </c>
      <c r="N193" s="61">
        <f>SUM(N9:N168)</f>
        <v>292335.84401400003</v>
      </c>
      <c r="O193" s="61">
        <f t="shared" ref="O193:BC193" si="57">SUM(O9:O192)</f>
        <v>1742338.2784840001</v>
      </c>
      <c r="P193" s="61">
        <f>SUM(P9:P192)</f>
        <v>1993536.3693996011</v>
      </c>
      <c r="Q193" s="61">
        <f t="shared" si="57"/>
        <v>2194597.048695147</v>
      </c>
      <c r="R193" s="61">
        <f t="shared" si="57"/>
        <v>36.516000000000012</v>
      </c>
      <c r="S193" s="61">
        <f t="shared" si="57"/>
        <v>36.958000000000013</v>
      </c>
      <c r="T193" s="61">
        <f t="shared" si="57"/>
        <v>35.661999999999978</v>
      </c>
      <c r="U193" s="61">
        <f t="shared" si="57"/>
        <v>35.596000000000032</v>
      </c>
      <c r="V193" s="61">
        <f t="shared" si="57"/>
        <v>35.574000000000005</v>
      </c>
      <c r="W193" s="61">
        <f t="shared" si="57"/>
        <v>35.574000000000005</v>
      </c>
      <c r="X193" s="61">
        <f t="shared" si="57"/>
        <v>13101.028799999998</v>
      </c>
      <c r="Y193" s="61">
        <f t="shared" si="57"/>
        <v>380136.34976436017</v>
      </c>
      <c r="Z193" s="61">
        <f t="shared" si="57"/>
        <v>479963.87193363591</v>
      </c>
      <c r="AA193" s="61">
        <f t="shared" si="57"/>
        <v>161365.69658496944</v>
      </c>
      <c r="AB193" s="61">
        <f t="shared" si="57"/>
        <v>728021.31055859639</v>
      </c>
      <c r="AC193" s="61">
        <f t="shared" si="57"/>
        <v>447796.54246936791</v>
      </c>
      <c r="AD193" s="61">
        <f t="shared" si="57"/>
        <v>1848996.7115040002</v>
      </c>
      <c r="AE193" s="61">
        <f t="shared" si="57"/>
        <v>2140487.3960556993</v>
      </c>
      <c r="AF193" s="61">
        <f t="shared" si="57"/>
        <v>2282530.5263436511</v>
      </c>
      <c r="AG193" s="61">
        <f t="shared" si="57"/>
        <v>42.3</v>
      </c>
      <c r="AH193" s="61">
        <f t="shared" si="57"/>
        <v>41.98599999999999</v>
      </c>
      <c r="AI193" s="61">
        <f t="shared" si="57"/>
        <v>42.094000000000001</v>
      </c>
      <c r="AJ193" s="61">
        <f t="shared" si="57"/>
        <v>41.943999999999974</v>
      </c>
      <c r="AK193" s="61">
        <f t="shared" si="57"/>
        <v>41.875999999999998</v>
      </c>
      <c r="AL193" s="61">
        <f t="shared" si="57"/>
        <v>41.807999999999979</v>
      </c>
      <c r="AM193" s="61">
        <f t="shared" si="57"/>
        <v>12803.961599999999</v>
      </c>
      <c r="AN193" s="61">
        <f t="shared" si="57"/>
        <v>374201.19744639524</v>
      </c>
      <c r="AO193" s="61">
        <f t="shared" si="57"/>
        <v>426552.06458196888</v>
      </c>
      <c r="AP193" s="61">
        <f t="shared" si="57"/>
        <v>253465.50134977698</v>
      </c>
      <c r="AQ193" s="61">
        <f t="shared" si="57"/>
        <v>769343.06331476988</v>
      </c>
      <c r="AR193" s="61">
        <f t="shared" si="57"/>
        <v>446164.7380507405</v>
      </c>
      <c r="AS193" s="61">
        <f t="shared" si="57"/>
        <v>677814.56472399994</v>
      </c>
      <c r="AT193" s="61">
        <f t="shared" si="57"/>
        <v>744235.17958283948</v>
      </c>
      <c r="AU193" s="61">
        <f t="shared" si="57"/>
        <v>26.850000000000016</v>
      </c>
      <c r="AV193" s="61">
        <f t="shared" si="57"/>
        <v>25.924999999999983</v>
      </c>
      <c r="AW193" s="61">
        <f t="shared" si="57"/>
        <v>25.975000000000012</v>
      </c>
      <c r="AX193" s="61">
        <f t="shared" si="57"/>
        <v>12815.827200000002</v>
      </c>
      <c r="AY193" s="61">
        <f t="shared" si="57"/>
        <v>403775.57305401104</v>
      </c>
      <c r="AZ193" s="61">
        <f t="shared" si="57"/>
        <v>413734.96731579612</v>
      </c>
      <c r="BA193" s="61">
        <f t="shared" si="57"/>
        <v>0</v>
      </c>
      <c r="BB193" s="61" t="e">
        <f t="shared" si="57"/>
        <v>#VALUE!</v>
      </c>
      <c r="BC193" s="61">
        <f t="shared" si="57"/>
        <v>0</v>
      </c>
    </row>
    <row r="194" spans="1:55" x14ac:dyDescent="0.25">
      <c r="B194" s="70"/>
      <c r="N194" s="69"/>
      <c r="O194" s="42"/>
      <c r="AE194" s="74"/>
      <c r="AF194" s="74"/>
    </row>
    <row r="195" spans="1:55" x14ac:dyDescent="0.25">
      <c r="Q195" s="73"/>
    </row>
    <row r="196" spans="1:55" ht="13.5" customHeight="1" x14ac:dyDescent="0.25">
      <c r="AZ196" s="42" t="s">
        <v>266</v>
      </c>
    </row>
  </sheetData>
  <mergeCells count="1295">
    <mergeCell ref="AE58:AE65"/>
    <mergeCell ref="AF58:AF65"/>
    <mergeCell ref="AE68:AE72"/>
    <mergeCell ref="AE73:AE76"/>
    <mergeCell ref="AE104:AE106"/>
    <mergeCell ref="AF104:AF106"/>
    <mergeCell ref="AE107:AE112"/>
    <mergeCell ref="AF107:AF112"/>
    <mergeCell ref="AE113:AE118"/>
    <mergeCell ref="AF113:AF118"/>
    <mergeCell ref="AE121:AE122"/>
    <mergeCell ref="AF121:AF122"/>
    <mergeCell ref="AS73:AS76"/>
    <mergeCell ref="AV68:AV72"/>
    <mergeCell ref="AX68:AX72"/>
    <mergeCell ref="AT38:AT41"/>
    <mergeCell ref="AU38:AU41"/>
    <mergeCell ref="AV38:AV41"/>
    <mergeCell ref="AT73:AT76"/>
    <mergeCell ref="AU73:AU76"/>
    <mergeCell ref="AW58:AW65"/>
    <mergeCell ref="AW68:AW72"/>
    <mergeCell ref="AW73:AW76"/>
    <mergeCell ref="AW77:AW85"/>
    <mergeCell ref="BA45:BA57"/>
    <mergeCell ref="BA21:BA26"/>
    <mergeCell ref="AV21:AV26"/>
    <mergeCell ref="BA27:BA37"/>
    <mergeCell ref="AY27:AY37"/>
    <mergeCell ref="BA42:BA43"/>
    <mergeCell ref="AU77:AU85"/>
    <mergeCell ref="AV77:AV85"/>
    <mergeCell ref="BA38:BA41"/>
    <mergeCell ref="AZ68:AZ72"/>
    <mergeCell ref="BA68:BA72"/>
    <mergeCell ref="AV73:AV76"/>
    <mergeCell ref="AX73:AX76"/>
    <mergeCell ref="AX45:AX57"/>
    <mergeCell ref="AY45:AY57"/>
    <mergeCell ref="AZ45:AZ57"/>
    <mergeCell ref="AW21:AW26"/>
    <mergeCell ref="AW27:AW37"/>
    <mergeCell ref="AS21:AS26"/>
    <mergeCell ref="AS38:AS41"/>
    <mergeCell ref="AU86:AU87"/>
    <mergeCell ref="AV86:AV87"/>
    <mergeCell ref="AW86:AW87"/>
    <mergeCell ref="AX86:AX87"/>
    <mergeCell ref="AY86:AY87"/>
    <mergeCell ref="AZ86:AZ87"/>
    <mergeCell ref="AY68:AY72"/>
    <mergeCell ref="AX21:AX26"/>
    <mergeCell ref="AY21:AY26"/>
    <mergeCell ref="AZ21:AZ26"/>
    <mergeCell ref="AZ165:AZ167"/>
    <mergeCell ref="BA165:BA167"/>
    <mergeCell ref="AI165:AI167"/>
    <mergeCell ref="AJ165:AJ167"/>
    <mergeCell ref="AK165:AK167"/>
    <mergeCell ref="AL165:AL167"/>
    <mergeCell ref="AM165:AM167"/>
    <mergeCell ref="AN165:AN167"/>
    <mergeCell ref="AO165:AO167"/>
    <mergeCell ref="AP165:AP167"/>
    <mergeCell ref="AQ165:AQ167"/>
    <mergeCell ref="BA147:BA152"/>
    <mergeCell ref="BA86:BA87"/>
    <mergeCell ref="AS68:AS72"/>
    <mergeCell ref="AT68:AT72"/>
    <mergeCell ref="AU68:AU72"/>
    <mergeCell ref="AW135:AW140"/>
    <mergeCell ref="AW141:AW146"/>
    <mergeCell ref="AW147:AW152"/>
    <mergeCell ref="AU88:AU98"/>
    <mergeCell ref="AV88:AV98"/>
    <mergeCell ref="AW88:AW98"/>
    <mergeCell ref="AX88:AX98"/>
    <mergeCell ref="AY88:AY98"/>
    <mergeCell ref="AZ88:AZ98"/>
    <mergeCell ref="AS88:AS98"/>
    <mergeCell ref="AT88:AT98"/>
    <mergeCell ref="AZ147:AZ152"/>
    <mergeCell ref="AW165:AW167"/>
    <mergeCell ref="Z165:Z167"/>
    <mergeCell ref="AA165:AA167"/>
    <mergeCell ref="AB165:AB167"/>
    <mergeCell ref="AC165:AC167"/>
    <mergeCell ref="AD165:AD167"/>
    <mergeCell ref="AG165:AG167"/>
    <mergeCell ref="AH165:AH167"/>
    <mergeCell ref="AS159:AS164"/>
    <mergeCell ref="AT159:AT164"/>
    <mergeCell ref="AU159:AU164"/>
    <mergeCell ref="AV159:AV164"/>
    <mergeCell ref="AX159:AX164"/>
    <mergeCell ref="AY159:AY164"/>
    <mergeCell ref="AS153:AS158"/>
    <mergeCell ref="AT153:AT158"/>
    <mergeCell ref="AU153:AU158"/>
    <mergeCell ref="AV153:AV158"/>
    <mergeCell ref="AX153:AX158"/>
    <mergeCell ref="AY153:AY158"/>
    <mergeCell ref="AR165:AR167"/>
    <mergeCell ref="AS165:AS167"/>
    <mergeCell ref="AT165:AT167"/>
    <mergeCell ref="AU165:AU167"/>
    <mergeCell ref="AV165:AV167"/>
    <mergeCell ref="AX165:AX167"/>
    <mergeCell ref="AY165:AY167"/>
    <mergeCell ref="Q165:Q167"/>
    <mergeCell ref="R165:R167"/>
    <mergeCell ref="S165:S167"/>
    <mergeCell ref="T165:T167"/>
    <mergeCell ref="U165:U167"/>
    <mergeCell ref="V165:V167"/>
    <mergeCell ref="W165:W167"/>
    <mergeCell ref="X165:X167"/>
    <mergeCell ref="Y165:Y167"/>
    <mergeCell ref="A165:A167"/>
    <mergeCell ref="B165:B167"/>
    <mergeCell ref="C165:C167"/>
    <mergeCell ref="M165:M167"/>
    <mergeCell ref="N165:N167"/>
    <mergeCell ref="O165:O167"/>
    <mergeCell ref="P165:P167"/>
    <mergeCell ref="AE165:AE167"/>
    <mergeCell ref="AF165:AF167"/>
    <mergeCell ref="AZ159:AZ164"/>
    <mergeCell ref="AR159:AR164"/>
    <mergeCell ref="BA159:BA164"/>
    <mergeCell ref="AI159:AI164"/>
    <mergeCell ref="AJ159:AJ164"/>
    <mergeCell ref="AK159:AK164"/>
    <mergeCell ref="AL159:AL164"/>
    <mergeCell ref="AM159:AM164"/>
    <mergeCell ref="AN159:AN164"/>
    <mergeCell ref="AO159:AO164"/>
    <mergeCell ref="AP159:AP164"/>
    <mergeCell ref="AQ159:AQ164"/>
    <mergeCell ref="Z159:Z164"/>
    <mergeCell ref="AA159:AA164"/>
    <mergeCell ref="AB159:AB164"/>
    <mergeCell ref="AC159:AC164"/>
    <mergeCell ref="AD159:AD164"/>
    <mergeCell ref="AG159:AG164"/>
    <mergeCell ref="AH159:AH164"/>
    <mergeCell ref="AW159:AW164"/>
    <mergeCell ref="AE159:AE164"/>
    <mergeCell ref="AF159:AF164"/>
    <mergeCell ref="A159:A164"/>
    <mergeCell ref="B159:B164"/>
    <mergeCell ref="C159:C164"/>
    <mergeCell ref="M159:M164"/>
    <mergeCell ref="N159:N164"/>
    <mergeCell ref="O159:O164"/>
    <mergeCell ref="P159:P164"/>
    <mergeCell ref="Q159:Q164"/>
    <mergeCell ref="R159:R164"/>
    <mergeCell ref="S159:S164"/>
    <mergeCell ref="T159:T164"/>
    <mergeCell ref="U159:U164"/>
    <mergeCell ref="V159:V164"/>
    <mergeCell ref="W159:W164"/>
    <mergeCell ref="X159:X164"/>
    <mergeCell ref="Y159:Y164"/>
    <mergeCell ref="AJ153:AJ158"/>
    <mergeCell ref="A153:A158"/>
    <mergeCell ref="B153:B158"/>
    <mergeCell ref="C153:C158"/>
    <mergeCell ref="M153:M158"/>
    <mergeCell ref="N153:N158"/>
    <mergeCell ref="O153:O158"/>
    <mergeCell ref="P153:P158"/>
    <mergeCell ref="Q153:Q158"/>
    <mergeCell ref="Y153:Y158"/>
    <mergeCell ref="Z153:Z158"/>
    <mergeCell ref="AE153:AE158"/>
    <mergeCell ref="AF153:AF158"/>
    <mergeCell ref="AA153:AA158"/>
    <mergeCell ref="AB153:AB158"/>
    <mergeCell ref="AC153:AC158"/>
    <mergeCell ref="AD153:AD158"/>
    <mergeCell ref="AB147:AB152"/>
    <mergeCell ref="AG141:AG146"/>
    <mergeCell ref="AH141:AH146"/>
    <mergeCell ref="AI141:AI146"/>
    <mergeCell ref="AJ141:AJ146"/>
    <mergeCell ref="AZ153:AZ158"/>
    <mergeCell ref="AI153:AI158"/>
    <mergeCell ref="AT147:AT152"/>
    <mergeCell ref="AU147:AU152"/>
    <mergeCell ref="AV147:AV152"/>
    <mergeCell ref="AX147:AX152"/>
    <mergeCell ref="AY147:AY152"/>
    <mergeCell ref="AG147:AG152"/>
    <mergeCell ref="AU141:AU146"/>
    <mergeCell ref="AV141:AV146"/>
    <mergeCell ref="AC147:AC152"/>
    <mergeCell ref="AD147:AD152"/>
    <mergeCell ref="AX141:AX146"/>
    <mergeCell ref="AY141:AY146"/>
    <mergeCell ref="AK153:AK158"/>
    <mergeCell ref="AL153:AL158"/>
    <mergeCell ref="AM153:AM158"/>
    <mergeCell ref="AE141:AE146"/>
    <mergeCell ref="AF141:AF146"/>
    <mergeCell ref="AE147:AE152"/>
    <mergeCell ref="AF147:AF152"/>
    <mergeCell ref="C147:C152"/>
    <mergeCell ref="M147:M152"/>
    <mergeCell ref="N147:N152"/>
    <mergeCell ref="O147:O152"/>
    <mergeCell ref="P147:P152"/>
    <mergeCell ref="Q147:Q152"/>
    <mergeCell ref="R147:R152"/>
    <mergeCell ref="S147:S152"/>
    <mergeCell ref="T147:T152"/>
    <mergeCell ref="U147:U152"/>
    <mergeCell ref="V147:V152"/>
    <mergeCell ref="W147:W152"/>
    <mergeCell ref="X147:X152"/>
    <mergeCell ref="Y147:Y152"/>
    <mergeCell ref="Z147:Z152"/>
    <mergeCell ref="AA147:AA152"/>
    <mergeCell ref="AD141:AD146"/>
    <mergeCell ref="T121:T122"/>
    <mergeCell ref="U121:U122"/>
    <mergeCell ref="W121:W122"/>
    <mergeCell ref="B113:B118"/>
    <mergeCell ref="S123:S124"/>
    <mergeCell ref="AM135:AM140"/>
    <mergeCell ref="AN135:AN140"/>
    <mergeCell ref="AO135:AO140"/>
    <mergeCell ref="AP135:AP140"/>
    <mergeCell ref="AQ135:AQ140"/>
    <mergeCell ref="AR135:AR140"/>
    <mergeCell ref="AS135:AS140"/>
    <mergeCell ref="AT135:AT140"/>
    <mergeCell ref="AU135:AU140"/>
    <mergeCell ref="AG135:AG140"/>
    <mergeCell ref="AD135:AD140"/>
    <mergeCell ref="AL135:AL140"/>
    <mergeCell ref="AK135:AK140"/>
    <mergeCell ref="AJ135:AJ140"/>
    <mergeCell ref="AI135:AI140"/>
    <mergeCell ref="AH135:AH140"/>
    <mergeCell ref="AE135:AE140"/>
    <mergeCell ref="AF135:AF140"/>
    <mergeCell ref="AE123:AE124"/>
    <mergeCell ref="AF123:AF124"/>
    <mergeCell ref="A107:A112"/>
    <mergeCell ref="M107:M112"/>
    <mergeCell ref="N107:N112"/>
    <mergeCell ref="O107:O112"/>
    <mergeCell ref="P107:P112"/>
    <mergeCell ref="Q107:Q112"/>
    <mergeCell ref="R107:R112"/>
    <mergeCell ref="S107:S112"/>
    <mergeCell ref="A135:A140"/>
    <mergeCell ref="O113:O118"/>
    <mergeCell ref="P113:P118"/>
    <mergeCell ref="Q113:Q118"/>
    <mergeCell ref="R113:R118"/>
    <mergeCell ref="A121:A122"/>
    <mergeCell ref="N121:N122"/>
    <mergeCell ref="O121:O122"/>
    <mergeCell ref="P121:P122"/>
    <mergeCell ref="Q121:Q122"/>
    <mergeCell ref="R121:R122"/>
    <mergeCell ref="S121:S122"/>
    <mergeCell ref="B123:B124"/>
    <mergeCell ref="C123:C124"/>
    <mergeCell ref="M123:M124"/>
    <mergeCell ref="A113:A118"/>
    <mergeCell ref="S113:S118"/>
    <mergeCell ref="AM121:AM122"/>
    <mergeCell ref="AN121:AN122"/>
    <mergeCell ref="AP121:AP122"/>
    <mergeCell ref="BA88:BA98"/>
    <mergeCell ref="AQ121:AQ122"/>
    <mergeCell ref="R141:R146"/>
    <mergeCell ref="S141:S146"/>
    <mergeCell ref="T141:T146"/>
    <mergeCell ref="U141:U146"/>
    <mergeCell ref="V141:V146"/>
    <mergeCell ref="W141:W146"/>
    <mergeCell ref="X141:X146"/>
    <mergeCell ref="Y141:Y146"/>
    <mergeCell ref="V123:V124"/>
    <mergeCell ref="Z141:Z146"/>
    <mergeCell ref="AA141:AA146"/>
    <mergeCell ref="AB141:AB146"/>
    <mergeCell ref="AC141:AC146"/>
    <mergeCell ref="AL141:AL146"/>
    <mergeCell ref="AM141:AM146"/>
    <mergeCell ref="AN141:AN146"/>
    <mergeCell ref="AO141:AO146"/>
    <mergeCell ref="AP141:AP146"/>
    <mergeCell ref="A123:A124"/>
    <mergeCell ref="AM123:AM124"/>
    <mergeCell ref="N123:N124"/>
    <mergeCell ref="O123:O124"/>
    <mergeCell ref="AQ123:AQ124"/>
    <mergeCell ref="AR123:AR124"/>
    <mergeCell ref="AN58:AN65"/>
    <mergeCell ref="AO58:AO65"/>
    <mergeCell ref="AP58:AP65"/>
    <mergeCell ref="AQ58:AQ65"/>
    <mergeCell ref="AR58:AR65"/>
    <mergeCell ref="AM42:AM43"/>
    <mergeCell ref="AN42:AN43"/>
    <mergeCell ref="AO42:AO43"/>
    <mergeCell ref="AP42:AP43"/>
    <mergeCell ref="AQ42:AQ43"/>
    <mergeCell ref="AN107:AN112"/>
    <mergeCell ref="AR42:AR43"/>
    <mergeCell ref="AR121:AR122"/>
    <mergeCell ref="AR113:AR118"/>
    <mergeCell ref="AM45:AM57"/>
    <mergeCell ref="AN45:AN57"/>
    <mergeCell ref="AO45:AO57"/>
    <mergeCell ref="AP45:AP57"/>
    <mergeCell ref="AQ45:AQ57"/>
    <mergeCell ref="AR45:AR57"/>
    <mergeCell ref="AM77:AM85"/>
    <mergeCell ref="AN77:AN85"/>
    <mergeCell ref="AO77:AO85"/>
    <mergeCell ref="AP77:AP85"/>
    <mergeCell ref="AQ77:AQ85"/>
    <mergeCell ref="AR77:AR85"/>
    <mergeCell ref="AP107:AP112"/>
    <mergeCell ref="N104:N106"/>
    <mergeCell ref="Z88:Z98"/>
    <mergeCell ref="AO86:AO87"/>
    <mergeCell ref="AP86:AP87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G123:AG124"/>
    <mergeCell ref="AH123:AH124"/>
    <mergeCell ref="AI123:AI124"/>
    <mergeCell ref="AJ123:AJ124"/>
    <mergeCell ref="AK123:AK124"/>
    <mergeCell ref="AC121:AC122"/>
    <mergeCell ref="AD121:AD122"/>
    <mergeCell ref="AL123:AL124"/>
    <mergeCell ref="AJ121:AJ122"/>
    <mergeCell ref="AL121:AL122"/>
    <mergeCell ref="AN123:AN124"/>
    <mergeCell ref="AO123:AO124"/>
    <mergeCell ref="AP123:AP124"/>
    <mergeCell ref="T123:T124"/>
    <mergeCell ref="U123:U124"/>
    <mergeCell ref="P123:P124"/>
    <mergeCell ref="Q123:Q124"/>
    <mergeCell ref="R123:R124"/>
    <mergeCell ref="W107:W112"/>
    <mergeCell ref="W113:W118"/>
    <mergeCell ref="AP113:AP118"/>
    <mergeCell ref="AQ113:AQ118"/>
    <mergeCell ref="R104:R106"/>
    <mergeCell ref="AA104:AA106"/>
    <mergeCell ref="V104:V106"/>
    <mergeCell ref="AL104:AL106"/>
    <mergeCell ref="AD104:AD106"/>
    <mergeCell ref="AO104:AO106"/>
    <mergeCell ref="AB104:AB106"/>
    <mergeCell ref="AC104:AC106"/>
    <mergeCell ref="AS86:AS87"/>
    <mergeCell ref="AT86:AT87"/>
    <mergeCell ref="AR107:AR112"/>
    <mergeCell ref="AM104:AM106"/>
    <mergeCell ref="AN104:AN106"/>
    <mergeCell ref="X113:X118"/>
    <mergeCell ref="AN113:AN118"/>
    <mergeCell ref="AP104:AP106"/>
    <mergeCell ref="AQ104:AQ106"/>
    <mergeCell ref="AO113:AO118"/>
    <mergeCell ref="AQ88:AQ98"/>
    <mergeCell ref="AM88:AM98"/>
    <mergeCell ref="AN88:AN98"/>
    <mergeCell ref="R88:R98"/>
    <mergeCell ref="S88:S98"/>
    <mergeCell ref="T88:T98"/>
    <mergeCell ref="B107:B112"/>
    <mergeCell ref="C107:C112"/>
    <mergeCell ref="T107:T112"/>
    <mergeCell ref="U107:U112"/>
    <mergeCell ref="V107:V112"/>
    <mergeCell ref="X107:X112"/>
    <mergeCell ref="Y107:Y112"/>
    <mergeCell ref="Z107:Z112"/>
    <mergeCell ref="AA107:AA112"/>
    <mergeCell ref="AL113:AL118"/>
    <mergeCell ref="AM113:AM118"/>
    <mergeCell ref="AR104:AR106"/>
    <mergeCell ref="X104:X106"/>
    <mergeCell ref="Y104:Y106"/>
    <mergeCell ref="Z104:Z106"/>
    <mergeCell ref="AG104:AG106"/>
    <mergeCell ref="AH104:AH106"/>
    <mergeCell ref="AL107:AL112"/>
    <mergeCell ref="AM107:AM112"/>
    <mergeCell ref="AI104:AI106"/>
    <mergeCell ref="AJ104:AJ106"/>
    <mergeCell ref="AK104:AK106"/>
    <mergeCell ref="O104:O106"/>
    <mergeCell ref="P104:P106"/>
    <mergeCell ref="AG113:AG118"/>
    <mergeCell ref="AH113:AH118"/>
    <mergeCell ref="AI113:AI118"/>
    <mergeCell ref="AK113:AK118"/>
    <mergeCell ref="C113:C118"/>
    <mergeCell ref="M113:M118"/>
    <mergeCell ref="AQ107:AQ112"/>
    <mergeCell ref="N113:N118"/>
    <mergeCell ref="M86:M87"/>
    <mergeCell ref="N86:N87"/>
    <mergeCell ref="O86:O87"/>
    <mergeCell ref="X121:X122"/>
    <mergeCell ref="Y121:Y122"/>
    <mergeCell ref="Z121:Z122"/>
    <mergeCell ref="AA121:AA122"/>
    <mergeCell ref="AB121:AB122"/>
    <mergeCell ref="AD113:AD118"/>
    <mergeCell ref="AG121:AG122"/>
    <mergeCell ref="AH121:AH122"/>
    <mergeCell ref="AO121:AO122"/>
    <mergeCell ref="AK121:AK122"/>
    <mergeCell ref="AB107:AB112"/>
    <mergeCell ref="AC107:AC112"/>
    <mergeCell ref="AD107:AD112"/>
    <mergeCell ref="AG107:AG112"/>
    <mergeCell ref="AH107:AH112"/>
    <mergeCell ref="AI107:AI112"/>
    <mergeCell ref="AJ107:AJ112"/>
    <mergeCell ref="AK107:AK112"/>
    <mergeCell ref="Q104:Q106"/>
    <mergeCell ref="AO107:AO112"/>
    <mergeCell ref="V113:V118"/>
    <mergeCell ref="AH88:AH98"/>
    <mergeCell ref="AI88:AI98"/>
    <mergeCell ref="AJ88:AJ98"/>
    <mergeCell ref="AK88:AK98"/>
    <mergeCell ref="AL88:AL98"/>
    <mergeCell ref="U88:U98"/>
    <mergeCell ref="X88:X98"/>
    <mergeCell ref="Y88:Y98"/>
    <mergeCell ref="AQ68:AQ72"/>
    <mergeCell ref="AR68:AR72"/>
    <mergeCell ref="AI68:AI72"/>
    <mergeCell ref="AB68:AB72"/>
    <mergeCell ref="T113:T118"/>
    <mergeCell ref="U113:U118"/>
    <mergeCell ref="Y113:Y118"/>
    <mergeCell ref="Z113:Z118"/>
    <mergeCell ref="AA113:AA118"/>
    <mergeCell ref="AB113:AB118"/>
    <mergeCell ref="AC113:AC118"/>
    <mergeCell ref="AJ113:AJ118"/>
    <mergeCell ref="AI121:AI122"/>
    <mergeCell ref="B104:B106"/>
    <mergeCell ref="C104:C106"/>
    <mergeCell ref="M104:M106"/>
    <mergeCell ref="S104:S106"/>
    <mergeCell ref="T104:T106"/>
    <mergeCell ref="U104:U106"/>
    <mergeCell ref="W104:W106"/>
    <mergeCell ref="B121:B122"/>
    <mergeCell ref="C121:C122"/>
    <mergeCell ref="M121:M122"/>
    <mergeCell ref="V121:V122"/>
    <mergeCell ref="B88:B98"/>
    <mergeCell ref="C88:C98"/>
    <mergeCell ref="M88:M98"/>
    <mergeCell ref="N88:N98"/>
    <mergeCell ref="O88:O98"/>
    <mergeCell ref="P88:P98"/>
    <mergeCell ref="B86:B87"/>
    <mergeCell ref="C86:C87"/>
    <mergeCell ref="AP68:AP72"/>
    <mergeCell ref="AJ86:AJ87"/>
    <mergeCell ref="AK86:AK87"/>
    <mergeCell ref="AE88:AE98"/>
    <mergeCell ref="V88:V98"/>
    <mergeCell ref="W88:W98"/>
    <mergeCell ref="AO88:AO98"/>
    <mergeCell ref="AP88:AP98"/>
    <mergeCell ref="V77:V85"/>
    <mergeCell ref="AA88:AA98"/>
    <mergeCell ref="AB88:AB98"/>
    <mergeCell ref="AC88:AC98"/>
    <mergeCell ref="AD88:AD98"/>
    <mergeCell ref="AL68:AL72"/>
    <mergeCell ref="T15:T20"/>
    <mergeCell ref="T21:T26"/>
    <mergeCell ref="T27:T37"/>
    <mergeCell ref="W21:W26"/>
    <mergeCell ref="V27:V37"/>
    <mergeCell ref="W27:W37"/>
    <mergeCell ref="T77:T85"/>
    <mergeCell ref="U77:U85"/>
    <mergeCell ref="T68:T72"/>
    <mergeCell ref="T42:T43"/>
    <mergeCell ref="X38:X41"/>
    <mergeCell ref="Z38:Z41"/>
    <mergeCell ref="W77:W85"/>
    <mergeCell ref="W73:W76"/>
    <mergeCell ref="AG45:AG57"/>
    <mergeCell ref="AH45:AH57"/>
    <mergeCell ref="AI45:AI57"/>
    <mergeCell ref="AE42:AE43"/>
    <mergeCell ref="P86:P87"/>
    <mergeCell ref="Q86:Q87"/>
    <mergeCell ref="R86:R87"/>
    <mergeCell ref="S86:S87"/>
    <mergeCell ref="T86:T87"/>
    <mergeCell ref="Y77:Y85"/>
    <mergeCell ref="Z77:Z85"/>
    <mergeCell ref="U86:U87"/>
    <mergeCell ref="V86:V87"/>
    <mergeCell ref="W58:W65"/>
    <mergeCell ref="W45:W57"/>
    <mergeCell ref="W68:W72"/>
    <mergeCell ref="R58:R65"/>
    <mergeCell ref="T58:T65"/>
    <mergeCell ref="S58:S65"/>
    <mergeCell ref="U45:U57"/>
    <mergeCell ref="AR73:AR76"/>
    <mergeCell ref="AA86:AA87"/>
    <mergeCell ref="AB86:AB87"/>
    <mergeCell ref="AC86:AC87"/>
    <mergeCell ref="AL86:AL87"/>
    <mergeCell ref="AM86:AM87"/>
    <mergeCell ref="AN86:AN87"/>
    <mergeCell ref="AD86:AD87"/>
    <mergeCell ref="AE86:AE87"/>
    <mergeCell ref="AG86:AG87"/>
    <mergeCell ref="AH86:AH87"/>
    <mergeCell ref="AI86:AI87"/>
    <mergeCell ref="W86:W87"/>
    <mergeCell ref="X86:X87"/>
    <mergeCell ref="Y86:Y87"/>
    <mergeCell ref="AQ86:AQ87"/>
    <mergeCell ref="AR86:AR87"/>
    <mergeCell ref="AF86:AF87"/>
    <mergeCell ref="Z86:Z87"/>
    <mergeCell ref="AE77:AE85"/>
    <mergeCell ref="AC77:AC85"/>
    <mergeCell ref="AD77:AD85"/>
    <mergeCell ref="AF77:AF85"/>
    <mergeCell ref="AC68:AC72"/>
    <mergeCell ref="AB77:AB85"/>
    <mergeCell ref="X77:X85"/>
    <mergeCell ref="AG77:AG85"/>
    <mergeCell ref="AH77:AH85"/>
    <mergeCell ref="AI77:AI85"/>
    <mergeCell ref="AJ77:AJ85"/>
    <mergeCell ref="AK77:AK85"/>
    <mergeCell ref="AI58:AI65"/>
    <mergeCell ref="AJ58:AJ65"/>
    <mergeCell ref="AK58:AK65"/>
    <mergeCell ref="AH68:AH72"/>
    <mergeCell ref="AA58:AA65"/>
    <mergeCell ref="Z73:Z76"/>
    <mergeCell ref="X58:X65"/>
    <mergeCell ref="Y58:Y65"/>
    <mergeCell ref="AG58:AG65"/>
    <mergeCell ref="AH58:AH65"/>
    <mergeCell ref="Z68:Z72"/>
    <mergeCell ref="AK68:AK72"/>
    <mergeCell ref="AD68:AD72"/>
    <mergeCell ref="AF68:AF72"/>
    <mergeCell ref="AL58:AL65"/>
    <mergeCell ref="AM58:AM65"/>
    <mergeCell ref="AO68:AO72"/>
    <mergeCell ref="A68:A72"/>
    <mergeCell ref="B68:B72"/>
    <mergeCell ref="C68:C72"/>
    <mergeCell ref="AD45:AD57"/>
    <mergeCell ref="Q68:Q72"/>
    <mergeCell ref="R68:R72"/>
    <mergeCell ref="S68:S72"/>
    <mergeCell ref="X68:X72"/>
    <mergeCell ref="Y68:Y72"/>
    <mergeCell ref="T45:T57"/>
    <mergeCell ref="X45:X57"/>
    <mergeCell ref="Y45:Y57"/>
    <mergeCell ref="Z45:Z57"/>
    <mergeCell ref="AA45:AA57"/>
    <mergeCell ref="AB45:AB57"/>
    <mergeCell ref="AA68:AA72"/>
    <mergeCell ref="A45:A57"/>
    <mergeCell ref="AB58:AB65"/>
    <mergeCell ref="AD58:AD65"/>
    <mergeCell ref="V45:V57"/>
    <mergeCell ref="V58:V65"/>
    <mergeCell ref="V68:V72"/>
    <mergeCell ref="U68:U72"/>
    <mergeCell ref="P68:P72"/>
    <mergeCell ref="M68:M72"/>
    <mergeCell ref="N68:N72"/>
    <mergeCell ref="U58:U65"/>
    <mergeCell ref="AM38:AM41"/>
    <mergeCell ref="AN38:AN41"/>
    <mergeCell ref="AO38:AO41"/>
    <mergeCell ref="M45:M57"/>
    <mergeCell ref="N45:N57"/>
    <mergeCell ref="O45:O57"/>
    <mergeCell ref="P45:P57"/>
    <mergeCell ref="R45:R57"/>
    <mergeCell ref="S45:S57"/>
    <mergeCell ref="Y42:Y43"/>
    <mergeCell ref="Z42:Z43"/>
    <mergeCell ref="AA42:AA43"/>
    <mergeCell ref="AB42:AB43"/>
    <mergeCell ref="M38:M41"/>
    <mergeCell ref="N38:N41"/>
    <mergeCell ref="O38:O41"/>
    <mergeCell ref="R38:R41"/>
    <mergeCell ref="S38:S41"/>
    <mergeCell ref="T38:T41"/>
    <mergeCell ref="U38:U41"/>
    <mergeCell ref="V38:V41"/>
    <mergeCell ref="AC42:AC43"/>
    <mergeCell ref="AF42:AF43"/>
    <mergeCell ref="AE45:AE57"/>
    <mergeCell ref="AF45:AF57"/>
    <mergeCell ref="U9:U14"/>
    <mergeCell ref="U15:U20"/>
    <mergeCell ref="X15:X20"/>
    <mergeCell ref="Y15:Y20"/>
    <mergeCell ref="Z15:Z20"/>
    <mergeCell ref="X21:X26"/>
    <mergeCell ref="AD27:AD37"/>
    <mergeCell ref="M42:M43"/>
    <mergeCell ref="N42:N43"/>
    <mergeCell ref="O42:O43"/>
    <mergeCell ref="P42:P43"/>
    <mergeCell ref="Q42:Q43"/>
    <mergeCell ref="R42:R43"/>
    <mergeCell ref="AD42:AD43"/>
    <mergeCell ref="AJ38:AJ41"/>
    <mergeCell ref="AK38:AK41"/>
    <mergeCell ref="AL38:AL41"/>
    <mergeCell ref="Q45:Q57"/>
    <mergeCell ref="AP38:AP41"/>
    <mergeCell ref="U42:U43"/>
    <mergeCell ref="A42:A43"/>
    <mergeCell ref="W15:W20"/>
    <mergeCell ref="AD21:AD26"/>
    <mergeCell ref="X9:X14"/>
    <mergeCell ref="AJ42:AJ43"/>
    <mergeCell ref="AK42:AK43"/>
    <mergeCell ref="AL42:AL43"/>
    <mergeCell ref="V9:V14"/>
    <mergeCell ref="W9:W14"/>
    <mergeCell ref="V15:V20"/>
    <mergeCell ref="S42:S43"/>
    <mergeCell ref="AG42:AG43"/>
    <mergeCell ref="AH42:AH43"/>
    <mergeCell ref="AI42:AI43"/>
    <mergeCell ref="U27:U37"/>
    <mergeCell ref="M15:M20"/>
    <mergeCell ref="X27:X37"/>
    <mergeCell ref="U21:U26"/>
    <mergeCell ref="V21:V26"/>
    <mergeCell ref="AA38:AA41"/>
    <mergeCell ref="AB38:AB41"/>
    <mergeCell ref="AC38:AC41"/>
    <mergeCell ref="X42:X43"/>
    <mergeCell ref="Y27:Y37"/>
    <mergeCell ref="R27:R37"/>
    <mergeCell ref="S27:S37"/>
    <mergeCell ref="R21:R26"/>
    <mergeCell ref="R15:R20"/>
    <mergeCell ref="S15:S20"/>
    <mergeCell ref="A88:A98"/>
    <mergeCell ref="Q88:Q98"/>
    <mergeCell ref="A86:A87"/>
    <mergeCell ref="A104:A106"/>
    <mergeCell ref="P38:P41"/>
    <mergeCell ref="Q38:Q41"/>
    <mergeCell ref="A73:A76"/>
    <mergeCell ref="AX15:AX20"/>
    <mergeCell ref="AS15:AS20"/>
    <mergeCell ref="AY15:AY20"/>
    <mergeCell ref="AZ15:AZ20"/>
    <mergeCell ref="AW9:AW14"/>
    <mergeCell ref="AW15:AW20"/>
    <mergeCell ref="AX9:AX14"/>
    <mergeCell ref="AY9:AY14"/>
    <mergeCell ref="AZ9:AZ14"/>
    <mergeCell ref="A77:A85"/>
    <mergeCell ref="B77:B85"/>
    <mergeCell ref="C77:C85"/>
    <mergeCell ref="M77:M85"/>
    <mergeCell ref="N77:N85"/>
    <mergeCell ref="O77:O85"/>
    <mergeCell ref="P77:P85"/>
    <mergeCell ref="Q77:Q85"/>
    <mergeCell ref="O68:O72"/>
    <mergeCell ref="AG15:AG20"/>
    <mergeCell ref="AH15:AH20"/>
    <mergeCell ref="AI15:AI20"/>
    <mergeCell ref="S21:S26"/>
    <mergeCell ref="AB21:AB26"/>
    <mergeCell ref="AC21:AC26"/>
    <mergeCell ref="C45:C57"/>
    <mergeCell ref="AF9:AF14"/>
    <mergeCell ref="AE15:AE20"/>
    <mergeCell ref="AF15:AF20"/>
    <mergeCell ref="AE21:AE26"/>
    <mergeCell ref="AF21:AF26"/>
    <mergeCell ref="AE27:AE37"/>
    <mergeCell ref="AF27:AF37"/>
    <mergeCell ref="A193:L193"/>
    <mergeCell ref="C9:C14"/>
    <mergeCell ref="M9:M14"/>
    <mergeCell ref="O9:O14"/>
    <mergeCell ref="P9:P14"/>
    <mergeCell ref="Q9:Q14"/>
    <mergeCell ref="A9:A14"/>
    <mergeCell ref="B9:B14"/>
    <mergeCell ref="N9:N14"/>
    <mergeCell ref="A21:A26"/>
    <mergeCell ref="B21:B26"/>
    <mergeCell ref="C21:C26"/>
    <mergeCell ref="M21:M26"/>
    <mergeCell ref="P21:P26"/>
    <mergeCell ref="O21:O26"/>
    <mergeCell ref="O27:O37"/>
    <mergeCell ref="O15:O20"/>
    <mergeCell ref="Q21:Q26"/>
    <mergeCell ref="C15:C20"/>
    <mergeCell ref="A15:A20"/>
    <mergeCell ref="B15:B20"/>
    <mergeCell ref="P27:P37"/>
    <mergeCell ref="Q27:Q37"/>
    <mergeCell ref="B58:B65"/>
    <mergeCell ref="A58:A65"/>
    <mergeCell ref="BA9:BA14"/>
    <mergeCell ref="AV9:AV14"/>
    <mergeCell ref="AT15:AT20"/>
    <mergeCell ref="BA15:BA20"/>
    <mergeCell ref="AU9:AU14"/>
    <mergeCell ref="AU15:AU20"/>
    <mergeCell ref="AU21:AU26"/>
    <mergeCell ref="AT21:AT26"/>
    <mergeCell ref="AV15:AV20"/>
    <mergeCell ref="Y9:Y14"/>
    <mergeCell ref="Z9:Z14"/>
    <mergeCell ref="AE38:AE41"/>
    <mergeCell ref="AF38:AF41"/>
    <mergeCell ref="AS27:AS37"/>
    <mergeCell ref="Z21:Z26"/>
    <mergeCell ref="AI27:AI37"/>
    <mergeCell ref="AJ27:AJ37"/>
    <mergeCell ref="AK27:AK37"/>
    <mergeCell ref="AL27:AL37"/>
    <mergeCell ref="AN27:AN37"/>
    <mergeCell ref="AB27:AB37"/>
    <mergeCell ref="AG27:AG37"/>
    <mergeCell ref="Z27:Z37"/>
    <mergeCell ref="AL21:AL26"/>
    <mergeCell ref="AT9:AT14"/>
    <mergeCell ref="AO9:AO14"/>
    <mergeCell ref="AP9:AP14"/>
    <mergeCell ref="AG9:AG14"/>
    <mergeCell ref="AH9:AH14"/>
    <mergeCell ref="AB9:AB14"/>
    <mergeCell ref="AC9:AC14"/>
    <mergeCell ref="AP15:AP20"/>
    <mergeCell ref="W42:W43"/>
    <mergeCell ref="AQ38:AQ41"/>
    <mergeCell ref="AR38:AR41"/>
    <mergeCell ref="AB15:AB20"/>
    <mergeCell ref="AC15:AC20"/>
    <mergeCell ref="AD15:AD20"/>
    <mergeCell ref="A27:A37"/>
    <mergeCell ref="B27:B37"/>
    <mergeCell ref="C27:C37"/>
    <mergeCell ref="N21:N26"/>
    <mergeCell ref="M27:M37"/>
    <mergeCell ref="AP21:AP26"/>
    <mergeCell ref="AQ21:AQ26"/>
    <mergeCell ref="AR21:AR26"/>
    <mergeCell ref="B42:B43"/>
    <mergeCell ref="C42:C43"/>
    <mergeCell ref="C38:C41"/>
    <mergeCell ref="A38:A41"/>
    <mergeCell ref="B38:B41"/>
    <mergeCell ref="AD38:AD41"/>
    <mergeCell ref="W38:W41"/>
    <mergeCell ref="AR27:AR37"/>
    <mergeCell ref="Y21:Y26"/>
    <mergeCell ref="AH38:AH41"/>
    <mergeCell ref="AI38:AI41"/>
    <mergeCell ref="AM21:AM26"/>
    <mergeCell ref="AN21:AN26"/>
    <mergeCell ref="AO21:AO26"/>
    <mergeCell ref="AH27:AH37"/>
    <mergeCell ref="AM27:AM37"/>
    <mergeCell ref="AO27:AO37"/>
    <mergeCell ref="AP27:AP37"/>
    <mergeCell ref="B73:B76"/>
    <mergeCell ref="C73:C76"/>
    <mergeCell ref="M73:M76"/>
    <mergeCell ref="N73:N76"/>
    <mergeCell ref="O73:O76"/>
    <mergeCell ref="P73:P76"/>
    <mergeCell ref="Q73:Q76"/>
    <mergeCell ref="R73:R76"/>
    <mergeCell ref="AA73:AA76"/>
    <mergeCell ref="AB73:AB76"/>
    <mergeCell ref="AC73:AC76"/>
    <mergeCell ref="AD73:AD76"/>
    <mergeCell ref="AF73:AF76"/>
    <mergeCell ref="AG73:AG76"/>
    <mergeCell ref="AH73:AH76"/>
    <mergeCell ref="AI73:AI76"/>
    <mergeCell ref="U73:U76"/>
    <mergeCell ref="T73:T76"/>
    <mergeCell ref="V73:V76"/>
    <mergeCell ref="AT77:AT85"/>
    <mergeCell ref="AX77:AX85"/>
    <mergeCell ref="AY77:AY85"/>
    <mergeCell ref="AZ77:AZ85"/>
    <mergeCell ref="BA77:BA85"/>
    <mergeCell ref="C58:C65"/>
    <mergeCell ref="Z58:Z65"/>
    <mergeCell ref="AS58:AS65"/>
    <mergeCell ref="AT58:AT65"/>
    <mergeCell ref="AX58:AX65"/>
    <mergeCell ref="AY58:AY65"/>
    <mergeCell ref="AZ58:AZ65"/>
    <mergeCell ref="BA58:BA65"/>
    <mergeCell ref="S77:S85"/>
    <mergeCell ref="R77:R85"/>
    <mergeCell ref="AY73:AY76"/>
    <mergeCell ref="AZ73:AZ76"/>
    <mergeCell ref="BA73:BA76"/>
    <mergeCell ref="S73:S76"/>
    <mergeCell ref="X73:X76"/>
    <mergeCell ref="Y73:Y76"/>
    <mergeCell ref="AO73:AO76"/>
    <mergeCell ref="AP73:AP76"/>
    <mergeCell ref="AQ73:AQ76"/>
    <mergeCell ref="AU58:AU65"/>
    <mergeCell ref="AV58:AV65"/>
    <mergeCell ref="O58:O65"/>
    <mergeCell ref="P58:P65"/>
    <mergeCell ref="Q58:Q65"/>
    <mergeCell ref="M58:M65"/>
    <mergeCell ref="N58:N65"/>
    <mergeCell ref="AJ68:AJ72"/>
    <mergeCell ref="R9:R14"/>
    <mergeCell ref="S9:S14"/>
    <mergeCell ref="T9:T14"/>
    <mergeCell ref="AS77:AS85"/>
    <mergeCell ref="AS42:AS43"/>
    <mergeCell ref="N27:N37"/>
    <mergeCell ref="N15:N20"/>
    <mergeCell ref="AJ15:AJ20"/>
    <mergeCell ref="AK15:AK20"/>
    <mergeCell ref="AL15:AL20"/>
    <mergeCell ref="AM15:AM20"/>
    <mergeCell ref="AN15:AN20"/>
    <mergeCell ref="AO15:AO20"/>
    <mergeCell ref="AJ21:AJ26"/>
    <mergeCell ref="AK21:AK26"/>
    <mergeCell ref="V42:V43"/>
    <mergeCell ref="AQ27:AQ37"/>
    <mergeCell ref="AG68:AG72"/>
    <mergeCell ref="AJ73:AJ76"/>
    <mergeCell ref="AK73:AK76"/>
    <mergeCell ref="AL73:AL76"/>
    <mergeCell ref="AN73:AN76"/>
    <mergeCell ref="AM73:AM76"/>
    <mergeCell ref="AM68:AM72"/>
    <mergeCell ref="AL77:AL85"/>
    <mergeCell ref="AN68:AN72"/>
    <mergeCell ref="AC45:AC57"/>
    <mergeCell ref="AC58:AC65"/>
    <mergeCell ref="AA77:AA85"/>
    <mergeCell ref="AS45:AS57"/>
    <mergeCell ref="P15:P20"/>
    <mergeCell ref="Q15:Q20"/>
    <mergeCell ref="A3:BA3"/>
    <mergeCell ref="AG6:AL6"/>
    <mergeCell ref="AM6:AR6"/>
    <mergeCell ref="M5:AC5"/>
    <mergeCell ref="Y38:Y41"/>
    <mergeCell ref="B45:B57"/>
    <mergeCell ref="AA9:AA14"/>
    <mergeCell ref="AA15:AA20"/>
    <mergeCell ref="AA21:AA26"/>
    <mergeCell ref="AA27:AA37"/>
    <mergeCell ref="AQ15:AQ20"/>
    <mergeCell ref="AR15:AR20"/>
    <mergeCell ref="AI21:AI26"/>
    <mergeCell ref="AQ9:AQ14"/>
    <mergeCell ref="AR9:AR14"/>
    <mergeCell ref="AI9:AI14"/>
    <mergeCell ref="AJ9:AJ14"/>
    <mergeCell ref="AK9:AK14"/>
    <mergeCell ref="O6:O7"/>
    <mergeCell ref="X4:Z4"/>
    <mergeCell ref="AX4:AZ4"/>
    <mergeCell ref="A5:A7"/>
    <mergeCell ref="AU6:AW6"/>
    <mergeCell ref="B5:B7"/>
    <mergeCell ref="C5:C7"/>
    <mergeCell ref="R6:W6"/>
    <mergeCell ref="J5:K6"/>
    <mergeCell ref="AX6:AZ6"/>
    <mergeCell ref="X6:AC6"/>
    <mergeCell ref="M6:M7"/>
    <mergeCell ref="AD5:AR5"/>
    <mergeCell ref="AJ45:AJ57"/>
    <mergeCell ref="AK45:AK57"/>
    <mergeCell ref="AL45:AL57"/>
    <mergeCell ref="AL9:AL14"/>
    <mergeCell ref="AD9:AD14"/>
    <mergeCell ref="AM9:AM14"/>
    <mergeCell ref="AN9:AN14"/>
    <mergeCell ref="AG21:AG26"/>
    <mergeCell ref="AH21:AH26"/>
    <mergeCell ref="AC27:AC37"/>
    <mergeCell ref="AX38:AX41"/>
    <mergeCell ref="AY38:AY41"/>
    <mergeCell ref="AZ38:AZ41"/>
    <mergeCell ref="AT27:AT37"/>
    <mergeCell ref="AV27:AV37"/>
    <mergeCell ref="AU27:AU37"/>
    <mergeCell ref="AX27:AX37"/>
    <mergeCell ref="AT42:AT43"/>
    <mergeCell ref="AU42:AU43"/>
    <mergeCell ref="AV42:AV43"/>
    <mergeCell ref="AX42:AX43"/>
    <mergeCell ref="AY42:AY43"/>
    <mergeCell ref="AZ42:AZ43"/>
    <mergeCell ref="AZ27:AZ37"/>
    <mergeCell ref="AW38:AW41"/>
    <mergeCell ref="AW42:AW43"/>
    <mergeCell ref="AT45:AT57"/>
    <mergeCell ref="AU45:AU57"/>
    <mergeCell ref="AV45:AV57"/>
    <mergeCell ref="AW45:AW57"/>
    <mergeCell ref="AG38:AG41"/>
    <mergeCell ref="AS9:AS14"/>
    <mergeCell ref="AE9:AE14"/>
    <mergeCell ref="N125:N129"/>
    <mergeCell ref="O125:O129"/>
    <mergeCell ref="P125:P129"/>
    <mergeCell ref="Q125:Q129"/>
    <mergeCell ref="R125:R129"/>
    <mergeCell ref="S125:S129"/>
    <mergeCell ref="T125:T129"/>
    <mergeCell ref="U125:U129"/>
    <mergeCell ref="V125:V129"/>
    <mergeCell ref="W125:W129"/>
    <mergeCell ref="X125:X129"/>
    <mergeCell ref="Y125:Y129"/>
    <mergeCell ref="Z125:Z129"/>
    <mergeCell ref="A2:BA2"/>
    <mergeCell ref="A1:BA1"/>
    <mergeCell ref="P6:P7"/>
    <mergeCell ref="Q6:Q7"/>
    <mergeCell ref="AD6:AD7"/>
    <mergeCell ref="AE6:AE7"/>
    <mergeCell ref="AF6:AF7"/>
    <mergeCell ref="BA5:BA7"/>
    <mergeCell ref="AS5:AZ5"/>
    <mergeCell ref="AS6:AS7"/>
    <mergeCell ref="AT6:AT7"/>
    <mergeCell ref="D5:D7"/>
    <mergeCell ref="E5:E7"/>
    <mergeCell ref="F5:F7"/>
    <mergeCell ref="G5:G7"/>
    <mergeCell ref="H5:H7"/>
    <mergeCell ref="I5:I7"/>
    <mergeCell ref="L5:L7"/>
    <mergeCell ref="N6:N7"/>
    <mergeCell ref="AL130:AL134"/>
    <mergeCell ref="AM130:AM134"/>
    <mergeCell ref="AN130:AN134"/>
    <mergeCell ref="AA125:AA129"/>
    <mergeCell ref="AB125:AB129"/>
    <mergeCell ref="AC125:AC129"/>
    <mergeCell ref="AD125:AD129"/>
    <mergeCell ref="AG125:AG129"/>
    <mergeCell ref="AH125:AH129"/>
    <mergeCell ref="AI125:AI129"/>
    <mergeCell ref="AJ125:AJ129"/>
    <mergeCell ref="AK125:AK129"/>
    <mergeCell ref="AL125:AL129"/>
    <mergeCell ref="AM125:AM129"/>
    <mergeCell ref="AN125:AN129"/>
    <mergeCell ref="AH130:AH134"/>
    <mergeCell ref="AI130:AI134"/>
    <mergeCell ref="AE125:AE129"/>
    <mergeCell ref="AF125:AF129"/>
    <mergeCell ref="AE130:AE134"/>
    <mergeCell ref="AF130:AF134"/>
    <mergeCell ref="AO130:AO134"/>
    <mergeCell ref="AP130:AP134"/>
    <mergeCell ref="AQ130:AQ134"/>
    <mergeCell ref="AR130:AR134"/>
    <mergeCell ref="AO125:AO129"/>
    <mergeCell ref="AP125:AP129"/>
    <mergeCell ref="AQ125:AQ129"/>
    <mergeCell ref="AR88:AR98"/>
    <mergeCell ref="AF88:AF98"/>
    <mergeCell ref="AG88:AG98"/>
    <mergeCell ref="BA130:BA134"/>
    <mergeCell ref="AR125:AR129"/>
    <mergeCell ref="A130:A134"/>
    <mergeCell ref="B130:B134"/>
    <mergeCell ref="C130:C134"/>
    <mergeCell ref="M130:M134"/>
    <mergeCell ref="N130:N134"/>
    <mergeCell ref="O130:O134"/>
    <mergeCell ref="P130:P134"/>
    <mergeCell ref="Q130:Q134"/>
    <mergeCell ref="R130:R134"/>
    <mergeCell ref="S130:S134"/>
    <mergeCell ref="T130:T134"/>
    <mergeCell ref="U130:U134"/>
    <mergeCell ref="V130:V134"/>
    <mergeCell ref="W130:W134"/>
    <mergeCell ref="X130:X134"/>
    <mergeCell ref="AA130:AA134"/>
    <mergeCell ref="AB130:AB134"/>
    <mergeCell ref="AC130:AC134"/>
    <mergeCell ref="AD130:AD134"/>
    <mergeCell ref="Y130:Y134"/>
    <mergeCell ref="Z130:Z134"/>
    <mergeCell ref="AG130:AG134"/>
    <mergeCell ref="AJ130:AJ134"/>
    <mergeCell ref="AK130:AK134"/>
    <mergeCell ref="A125:A129"/>
    <mergeCell ref="B125:B129"/>
    <mergeCell ref="C125:C129"/>
    <mergeCell ref="M125:M129"/>
    <mergeCell ref="BA135:BA140"/>
    <mergeCell ref="AZ135:AZ140"/>
    <mergeCell ref="AY135:AY140"/>
    <mergeCell ref="AX135:AX140"/>
    <mergeCell ref="AV135:AV140"/>
    <mergeCell ref="AC135:AC140"/>
    <mergeCell ref="AB135:AB140"/>
    <mergeCell ref="AA135:AA140"/>
    <mergeCell ref="Z135:Z140"/>
    <mergeCell ref="Y135:Y140"/>
    <mergeCell ref="X135:X140"/>
    <mergeCell ref="W135:W140"/>
    <mergeCell ref="V135:V140"/>
    <mergeCell ref="U135:U140"/>
    <mergeCell ref="T135:T140"/>
    <mergeCell ref="S135:S140"/>
    <mergeCell ref="R135:R140"/>
    <mergeCell ref="Q135:Q140"/>
    <mergeCell ref="P135:P140"/>
    <mergeCell ref="O135:O140"/>
    <mergeCell ref="N135:N140"/>
    <mergeCell ref="M135:M140"/>
    <mergeCell ref="C135:C140"/>
    <mergeCell ref="B135:B140"/>
    <mergeCell ref="BA141:BA146"/>
    <mergeCell ref="AZ141:AZ146"/>
    <mergeCell ref="AP153:AP158"/>
    <mergeCell ref="AQ153:AQ158"/>
    <mergeCell ref="AR153:AR158"/>
    <mergeCell ref="AG153:AG158"/>
    <mergeCell ref="AH153:AH158"/>
    <mergeCell ref="AH147:AH152"/>
    <mergeCell ref="AI147:AI152"/>
    <mergeCell ref="AJ147:AJ152"/>
    <mergeCell ref="AK147:AK152"/>
    <mergeCell ref="AL147:AL152"/>
    <mergeCell ref="AM147:AM152"/>
    <mergeCell ref="AN147:AN152"/>
    <mergeCell ref="AO147:AO152"/>
    <mergeCell ref="AP147:AP152"/>
    <mergeCell ref="AQ147:AQ152"/>
    <mergeCell ref="AK141:AK146"/>
    <mergeCell ref="AQ141:AQ146"/>
    <mergeCell ref="AR141:AR146"/>
    <mergeCell ref="AS141:AS146"/>
    <mergeCell ref="AT141:AT146"/>
    <mergeCell ref="AR147:AR152"/>
    <mergeCell ref="AS147:AS152"/>
    <mergeCell ref="AW153:AW158"/>
    <mergeCell ref="BA153:BA158"/>
    <mergeCell ref="AN153:AN158"/>
    <mergeCell ref="AO153:AO158"/>
    <mergeCell ref="A169:A174"/>
    <mergeCell ref="B169:B174"/>
    <mergeCell ref="C169:C174"/>
    <mergeCell ref="M169:M174"/>
    <mergeCell ref="N169:N174"/>
    <mergeCell ref="O169:O174"/>
    <mergeCell ref="P169:P174"/>
    <mergeCell ref="Q169:Q174"/>
    <mergeCell ref="R169:R174"/>
    <mergeCell ref="S169:S174"/>
    <mergeCell ref="T169:T174"/>
    <mergeCell ref="U169:U174"/>
    <mergeCell ref="V169:V174"/>
    <mergeCell ref="W169:W174"/>
    <mergeCell ref="X169:X174"/>
    <mergeCell ref="A141:A146"/>
    <mergeCell ref="B141:B146"/>
    <mergeCell ref="C141:C146"/>
    <mergeCell ref="M141:M146"/>
    <mergeCell ref="N141:N146"/>
    <mergeCell ref="O141:O146"/>
    <mergeCell ref="P141:P146"/>
    <mergeCell ref="Q141:Q146"/>
    <mergeCell ref="R153:R158"/>
    <mergeCell ref="S153:S158"/>
    <mergeCell ref="T153:T158"/>
    <mergeCell ref="U153:U158"/>
    <mergeCell ref="V153:V158"/>
    <mergeCell ref="W153:W158"/>
    <mergeCell ref="X153:X158"/>
    <mergeCell ref="A147:A152"/>
    <mergeCell ref="B147:B152"/>
    <mergeCell ref="Y169:Y174"/>
    <mergeCell ref="Z169:Z174"/>
    <mergeCell ref="AR169:AR174"/>
    <mergeCell ref="AS169:AS174"/>
    <mergeCell ref="AT169:AT174"/>
    <mergeCell ref="AU169:AU174"/>
    <mergeCell ref="AV169:AV174"/>
    <mergeCell ref="AW169:AW174"/>
    <mergeCell ref="AX169:AX174"/>
    <mergeCell ref="AY169:AY174"/>
    <mergeCell ref="AZ169:AZ174"/>
    <mergeCell ref="BA169:BA174"/>
    <mergeCell ref="AA169:AA174"/>
    <mergeCell ref="AB169:AB174"/>
    <mergeCell ref="AC169:AC174"/>
    <mergeCell ref="AD169:AD174"/>
    <mergeCell ref="AG169:AG174"/>
    <mergeCell ref="AH169:AH174"/>
    <mergeCell ref="AI169:AI174"/>
    <mergeCell ref="AJ169:AJ174"/>
    <mergeCell ref="AK169:AK174"/>
    <mergeCell ref="AL169:AL174"/>
    <mergeCell ref="AM169:AM174"/>
    <mergeCell ref="AN169:AN174"/>
    <mergeCell ref="AO169:AO174"/>
    <mergeCell ref="AP169:AP174"/>
    <mergeCell ref="AQ169:AQ174"/>
    <mergeCell ref="AE169:AE174"/>
    <mergeCell ref="AF169:AF174"/>
    <mergeCell ref="A175:A180"/>
    <mergeCell ref="B175:B180"/>
    <mergeCell ref="C175:C180"/>
    <mergeCell ref="M175:M180"/>
    <mergeCell ref="N175:N180"/>
    <mergeCell ref="O175:O180"/>
    <mergeCell ref="P175:P180"/>
    <mergeCell ref="Q175:Q180"/>
    <mergeCell ref="R175:R180"/>
    <mergeCell ref="S175:S180"/>
    <mergeCell ref="T175:T180"/>
    <mergeCell ref="U175:U180"/>
    <mergeCell ref="V175:V180"/>
    <mergeCell ref="W175:W180"/>
    <mergeCell ref="X175:X180"/>
    <mergeCell ref="Y175:Y180"/>
    <mergeCell ref="Z175:Z180"/>
    <mergeCell ref="AA181:AA186"/>
    <mergeCell ref="AB181:AB186"/>
    <mergeCell ref="AC181:AC186"/>
    <mergeCell ref="AD181:AD186"/>
    <mergeCell ref="AG181:AG186"/>
    <mergeCell ref="AH181:AH186"/>
    <mergeCell ref="AI181:AI186"/>
    <mergeCell ref="AJ181:AJ186"/>
    <mergeCell ref="AG175:AG180"/>
    <mergeCell ref="AH175:AH180"/>
    <mergeCell ref="AI175:AI180"/>
    <mergeCell ref="AJ175:AJ180"/>
    <mergeCell ref="AK175:AK180"/>
    <mergeCell ref="AL175:AL180"/>
    <mergeCell ref="AA175:AA180"/>
    <mergeCell ref="AB175:AB180"/>
    <mergeCell ref="AC175:AC180"/>
    <mergeCell ref="AD175:AD180"/>
    <mergeCell ref="AK181:AK186"/>
    <mergeCell ref="AL181:AL186"/>
    <mergeCell ref="AE175:AE180"/>
    <mergeCell ref="AF175:AF180"/>
    <mergeCell ref="AE181:AE186"/>
    <mergeCell ref="AF181:AF186"/>
    <mergeCell ref="A181:A186"/>
    <mergeCell ref="B181:B186"/>
    <mergeCell ref="C181:C186"/>
    <mergeCell ref="M181:M186"/>
    <mergeCell ref="N181:N186"/>
    <mergeCell ref="O181:O186"/>
    <mergeCell ref="P181:P186"/>
    <mergeCell ref="Q181:Q186"/>
    <mergeCell ref="R181:R186"/>
    <mergeCell ref="S181:S186"/>
    <mergeCell ref="T181:T186"/>
    <mergeCell ref="U181:U186"/>
    <mergeCell ref="V181:V186"/>
    <mergeCell ref="W181:W186"/>
    <mergeCell ref="X181:X186"/>
    <mergeCell ref="Y181:Y186"/>
    <mergeCell ref="Z181:Z186"/>
    <mergeCell ref="AM181:AM186"/>
    <mergeCell ref="AN181:AN186"/>
    <mergeCell ref="AO181:AO186"/>
    <mergeCell ref="AP181:AP186"/>
    <mergeCell ref="AQ181:AQ186"/>
    <mergeCell ref="AR181:AR186"/>
    <mergeCell ref="AS181:AS186"/>
    <mergeCell ref="AT181:AT186"/>
    <mergeCell ref="AU181:AU186"/>
    <mergeCell ref="AV181:AV186"/>
    <mergeCell ref="AW181:AW186"/>
    <mergeCell ref="AX181:AX186"/>
    <mergeCell ref="AY181:AY186"/>
    <mergeCell ref="AZ181:AZ186"/>
    <mergeCell ref="BA181:BA186"/>
    <mergeCell ref="AW175:AW180"/>
    <mergeCell ref="AX175:AX180"/>
    <mergeCell ref="AY175:AY180"/>
    <mergeCell ref="AZ175:AZ180"/>
    <mergeCell ref="BA175:BA180"/>
    <mergeCell ref="AM175:AM180"/>
    <mergeCell ref="AN175:AN180"/>
    <mergeCell ref="AO175:AO180"/>
    <mergeCell ref="AP175:AP180"/>
    <mergeCell ref="AQ175:AQ180"/>
    <mergeCell ref="AR175:AR180"/>
    <mergeCell ref="AS175:AS180"/>
    <mergeCell ref="AT175:AT180"/>
    <mergeCell ref="AU175:AU180"/>
    <mergeCell ref="AV175:AV180"/>
    <mergeCell ref="A187:A192"/>
    <mergeCell ref="B187:B192"/>
    <mergeCell ref="C187:C192"/>
    <mergeCell ref="M187:M192"/>
    <mergeCell ref="N187:N192"/>
    <mergeCell ref="O187:O192"/>
    <mergeCell ref="P187:P192"/>
    <mergeCell ref="Q187:Q192"/>
    <mergeCell ref="R187:R192"/>
    <mergeCell ref="S187:S192"/>
    <mergeCell ref="T187:T192"/>
    <mergeCell ref="U187:U192"/>
    <mergeCell ref="V187:V192"/>
    <mergeCell ref="W187:W192"/>
    <mergeCell ref="X187:X192"/>
    <mergeCell ref="Y187:Y192"/>
    <mergeCell ref="Z187:Z192"/>
    <mergeCell ref="AR187:AR192"/>
    <mergeCell ref="AS187:AS192"/>
    <mergeCell ref="AT187:AT192"/>
    <mergeCell ref="AU187:AU192"/>
    <mergeCell ref="AV187:AV192"/>
    <mergeCell ref="AW187:AW192"/>
    <mergeCell ref="AX187:AX192"/>
    <mergeCell ref="AY187:AY192"/>
    <mergeCell ref="AZ187:AZ192"/>
    <mergeCell ref="BA187:BA192"/>
    <mergeCell ref="AA187:AA192"/>
    <mergeCell ref="AB187:AB192"/>
    <mergeCell ref="AC187:AC192"/>
    <mergeCell ref="AD187:AD192"/>
    <mergeCell ref="AG187:AG192"/>
    <mergeCell ref="AH187:AH192"/>
    <mergeCell ref="AI187:AI192"/>
    <mergeCell ref="AJ187:AJ192"/>
    <mergeCell ref="AK187:AK192"/>
    <mergeCell ref="AL187:AL192"/>
    <mergeCell ref="AM187:AM192"/>
    <mergeCell ref="AN187:AN192"/>
    <mergeCell ref="AO187:AO192"/>
    <mergeCell ref="AP187:AP192"/>
    <mergeCell ref="AQ187:AQ192"/>
    <mergeCell ref="AE187:AE192"/>
    <mergeCell ref="AF187:AF192"/>
  </mergeCells>
  <pageMargins left="0.51181102362204722" right="0.51181102362204722" top="0.74803149606299213" bottom="0.35433070866141736" header="0" footer="0"/>
  <pageSetup paperSize="9" scale="22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ua/AdwI35ZYLcsn9bFqgMsnNvl4pyps7YBjJWFmofCg=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EnYl8KzgTOdI6P0XM5DWYQoCsOnffct5feG9FcQJ3M4=</DigestValue>
    </Reference>
  </SignedInfo>
  <SignatureValue>os4RcGgCchWpPtfAoqmeI2JaD+CgGCweFp12h04ahO1xQp/BCUP0fW4/t/yGJd/f
mMwiSerWhWt/ExHehy+6Mw==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XvE+G9tRJgYfoJsN9zb66vEtWws=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Aq0uu399Jo/263FgNWK4sXrmXow=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Aq0uu399Jo/263FgNWK4sXrmXow=</DigestValue>
      </Reference>
      <Reference URI="/xl/sharedStrings.xml?ContentType=application/vnd.openxmlformats-officedocument.spreadsheetml.sharedStrings+xml">
        <DigestMethod Algorithm="http://www.w3.org/2000/09/xmldsig#sha1"/>
        <DigestValue>jOg8nXVuamQdKcfEVcMc5nR8ceM=</DigestValue>
      </Reference>
      <Reference URI="/xl/styles.xml?ContentType=application/vnd.openxmlformats-officedocument.spreadsheetml.styles+xml">
        <DigestMethod Algorithm="http://www.w3.org/2000/09/xmldsig#sha1"/>
        <DigestValue>B5jkZpblM9zQNlaylbblXGKGiQ8=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YCI+QJE69NlV9AQGtwrX8xQ+Od8=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Q7R5lNWU6Z3AuAolLalsYCNByt0=</DigestValue>
      </Reference>
      <Reference URI="/xl/worksheets/sheet2.xml?ContentType=application/vnd.openxmlformats-officedocument.spreadsheetml.worksheet+xml">
        <DigestMethod Algorithm="http://www.w3.org/2000/09/xmldsig#sha1"/>
        <DigestValue>hfHmyvjNu9WiDyqYwPjqwauqhbU=</DigestValue>
      </Reference>
      <Reference URI="/xl/worksheets/sheet3.xml?ContentType=application/vnd.openxmlformats-officedocument.spreadsheetml.worksheet+xml">
        <DigestMethod Algorithm="http://www.w3.org/2000/09/xmldsig#sha1"/>
        <DigestValue>QFsH0SEZKaqi9hoJmFhn2ifxHOQ=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2022-09-30T02:08:42Z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2022-09-30T02:08:42Z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ВЛ </vt:lpstr>
      <vt:lpstr>КЛ</vt:lpstr>
      <vt:lpstr>ПС</vt:lpstr>
      <vt:lpstr>'ВЛ '!Область_печати</vt:lpstr>
      <vt:lpstr>ПС!Область_печати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2022-09-29T06:04:35Z</dcterms:modified>
</cp:coreProperties>
</file>